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216" windowHeight="6864" tabRatio="602" firstSheet="5" activeTab="7"/>
  </bookViews>
  <sheets>
    <sheet name="Tổng hợp các hộ cần bổ sung" sheetId="1" state="hidden" r:id="rId1"/>
    <sheet name="THDS (2)" sheetId="2" state="hidden" r:id="rId2"/>
    <sheet name="danh sach in (2)" sheetId="3" state="hidden" r:id="rId3"/>
    <sheet name="PABT251 (2)" sheetId="4" state="hidden" r:id="rId4"/>
    <sheet name="lâu năm" sheetId="5" state="hidden" r:id="rId5"/>
    <sheet name="TTHKP" sheetId="6" r:id="rId6"/>
    <sheet name="40k" sheetId="7" r:id="rId7"/>
    <sheet name="pa ms sau 2014" sheetId="8" r:id="rId8"/>
    <sheet name="DSTH" sheetId="9" r:id="rId9"/>
    <sheet name="PABT193" sheetId="10" state="hidden" r:id="rId10"/>
    <sheet name="tong hop tai san " sheetId="11" state="hidden" r:id="rId11"/>
    <sheet name="tong hop tai san" sheetId="12" state="hidden" r:id="rId12"/>
    <sheet name="pabt" sheetId="13" state="hidden" r:id="rId13"/>
    <sheet name="QĐTH" sheetId="14" state="hidden" r:id="rId14"/>
    <sheet name="THDS" sheetId="15" state="hidden" r:id="rId15"/>
    <sheet name="Sheet2" sheetId="16" state="hidden" r:id="rId16"/>
  </sheets>
  <definedNames>
    <definedName name="_xlnm._FilterDatabase" localSheetId="2" hidden="1">'danh sach in (2)'!$A$7:$AA$75</definedName>
    <definedName name="_xlnm._FilterDatabase" localSheetId="4" hidden="1">'lâu năm'!$A$6:$AA$56</definedName>
    <definedName name="_xlnm._FilterDatabase" localSheetId="7" hidden="1">'pa ms sau 2014'!$A$7:$AD$62</definedName>
    <definedName name="_xlnm._FilterDatabase" localSheetId="12" hidden="1">'pabt'!$A$7:$AB$100</definedName>
    <definedName name="_xlnm._FilterDatabase" localSheetId="9" hidden="1">'PABT193'!$A$6:$AC$55</definedName>
    <definedName name="_xlnm._FilterDatabase" localSheetId="3" hidden="1">'PABT251 (2)'!$A$6:$AF$8</definedName>
    <definedName name="_xlnm._FilterDatabase" localSheetId="14" hidden="1">'THDS'!$A$8:$AA$97</definedName>
    <definedName name="_xlnm._FilterDatabase" localSheetId="1" hidden="1">'THDS (2)'!$A$8:$AA$97</definedName>
    <definedName name="_xlnm._FilterDatabase" localSheetId="0" hidden="1">'Tổng hợp các hộ cần bổ sung'!$A$8:$P$47</definedName>
    <definedName name="_xlnm.Print_Area" localSheetId="4">'lâu năm'!$A$1:$AJ$57</definedName>
    <definedName name="_xlnm.Print_Area" localSheetId="7">'pa ms sau 2014'!$A$1:$AD$62</definedName>
    <definedName name="_xlnm.Print_Area" localSheetId="9">'PABT193'!$A$1:$AK$55</definedName>
    <definedName name="_xlnm.Print_Area" localSheetId="3">'PABT251 (2)'!$A$1:$AO$85</definedName>
    <definedName name="_xlnm.Print_Titles" localSheetId="2">'danh sach in (2)'!$5:$7</definedName>
    <definedName name="_xlnm.Print_Titles" localSheetId="4">'lâu năm'!$4:$6</definedName>
    <definedName name="_xlnm.Print_Titles" localSheetId="7">'pa ms sau 2014'!$5:$7</definedName>
    <definedName name="_xlnm.Print_Titles" localSheetId="12">'pabt'!$5:$7</definedName>
    <definedName name="_xlnm.Print_Titles" localSheetId="9">'PABT193'!$4:$6</definedName>
    <definedName name="_xlnm.Print_Titles" localSheetId="3">'PABT251 (2)'!$4:$6</definedName>
    <definedName name="_xlnm.Print_Titles" localSheetId="13">'QĐTH'!$5:$6</definedName>
    <definedName name="_xlnm.Print_Titles" localSheetId="14">'THDS'!$6:$8</definedName>
    <definedName name="_xlnm.Print_Titles" localSheetId="1">'THDS (2)'!$6:$8</definedName>
    <definedName name="_xlnm.Print_Titles" localSheetId="0">'Tổng hợp các hộ cần bổ sung'!$6:$8</definedName>
  </definedNames>
  <calcPr fullCalcOnLoad="1"/>
</workbook>
</file>

<file path=xl/sharedStrings.xml><?xml version="1.0" encoding="utf-8"?>
<sst xmlns="http://schemas.openxmlformats.org/spreadsheetml/2006/main" count="3860" uniqueCount="447">
  <si>
    <t>LUC</t>
  </si>
  <si>
    <t>Tờ số</t>
  </si>
  <si>
    <t>TT</t>
  </si>
  <si>
    <t>Thửa số</t>
  </si>
  <si>
    <t>DT bản đồ: m2</t>
  </si>
  <si>
    <t>DT thu hồi: m2</t>
  </si>
  <si>
    <t>DT còn lại: m2</t>
  </si>
  <si>
    <t>Ghi chú</t>
  </si>
  <si>
    <t>Họ tên hộ sử dụng đất</t>
  </si>
  <si>
    <t>Xứ đồng</t>
  </si>
  <si>
    <t>Bồi thường về tài sản</t>
  </si>
  <si>
    <t>Loại tài sản</t>
  </si>
  <si>
    <t>Đơn giá (đ)</t>
  </si>
  <si>
    <t>Thành tiền 
(đ)</t>
  </si>
  <si>
    <t>DT thu hồi theo thửa: m2</t>
  </si>
  <si>
    <t>Tổng DT thu hồi theo hộ: m2</t>
  </si>
  <si>
    <t>Số tiền được nhận theo thửa: đ</t>
  </si>
  <si>
    <t>Tổng số tiền hộ được nhận: đ</t>
  </si>
  <si>
    <t>Ký hiệu loại đất hiện trạng</t>
  </si>
  <si>
    <t>ĐVT</t>
  </si>
  <si>
    <t>Số lượng</t>
  </si>
  <si>
    <t>Thành tiền (đ)</t>
  </si>
  <si>
    <t>Bồi thường về đất</t>
  </si>
  <si>
    <t>Hỗ trợ 
đào tạo nghề 3,5 trđ/1 LĐ</t>
  </si>
  <si>
    <t>Kinh phí các khoản hỗ trợ (đ)</t>
  </si>
  <si>
    <t>Số LĐ được hỗ trợ</t>
  </si>
  <si>
    <t>(Kèm theo Tờ trình số 184 /TTr-TTQĐ, ngày 16 tháng 5 năm 2018)</t>
  </si>
  <si>
    <t>Theo bản đồ BT GPMB</t>
  </si>
  <si>
    <t>Ổn định đời sống và sản xuất (đ)</t>
  </si>
  <si>
    <t>Chuyển đổi nghề và tìm kiếm việc: Đất lúa (đ)</t>
  </si>
  <si>
    <t>Cây trồng HN</t>
  </si>
  <si>
    <t xml:space="preserve"> n </t>
  </si>
  <si>
    <t>Đồng Chiền</t>
  </si>
  <si>
    <t xml:space="preserve"> Địa điểm: TDP Hà Vị 2, TDP Hướng, TDP Cung Nhượng 1,2, phường Thọ Xương, thành phố Bắc Giang
</t>
  </si>
  <si>
    <t>TDP Hướng: DT giao ruộng năm 1993: 288m²/đx</t>
  </si>
  <si>
    <t>Nguyễn Thị Thái</t>
  </si>
  <si>
    <t>Nguyễn Kim Chuông (Phùng Thị Lan)</t>
  </si>
  <si>
    <t>Sau Bảo</t>
  </si>
  <si>
    <r>
      <t>đ/m</t>
    </r>
    <r>
      <rPr>
        <vertAlign val="superscript"/>
        <sz val="14"/>
        <rFont val="Times New Roman"/>
        <family val="1"/>
      </rPr>
      <t>2</t>
    </r>
  </si>
  <si>
    <r>
      <t>đ/m</t>
    </r>
    <r>
      <rPr>
        <vertAlign val="superscript"/>
        <sz val="14"/>
        <rFont val="Times New Roman"/>
        <family val="1"/>
      </rPr>
      <t>2</t>
    </r>
  </si>
  <si>
    <t>Nguyễn Thị Liên (Trần Văn Lai)</t>
  </si>
  <si>
    <t>TDP Cung Nhượng 1: DT giao ruộng năm 1993: 252m²/đx</t>
  </si>
  <si>
    <t>Phương Thị Bắc (Nguyễn Văn Dậu)</t>
  </si>
  <si>
    <t>Chũng Đào</t>
  </si>
  <si>
    <t>Đồi Bãi Chanh</t>
  </si>
  <si>
    <t>BHK</t>
  </si>
  <si>
    <r>
      <t>Trong chỉ giới: m</t>
    </r>
    <r>
      <rPr>
        <b/>
        <vertAlign val="superscript"/>
        <sz val="14"/>
        <rFont val="Times New Roman"/>
        <family val="1"/>
      </rPr>
      <t>2</t>
    </r>
  </si>
  <si>
    <r>
      <t>Ngoài chỉ giới: m</t>
    </r>
    <r>
      <rPr>
        <b/>
        <vertAlign val="superscript"/>
        <sz val="14"/>
        <rFont val="Times New Roman"/>
        <family val="1"/>
      </rPr>
      <t>2</t>
    </r>
  </si>
  <si>
    <t xml:space="preserve"> ĐỂ THỰC HIỆN DỰ ÁN HTKT SỐ 4 THUỘC KHU DÂN CƯ SỐ 4, PHƯỜNG THỌ XƯƠNG, THÀNH PHỐ BẮC GIANG</t>
  </si>
  <si>
    <t>Nguyễn Văn Đức (vợ Nguyễn Thị Thà)</t>
  </si>
  <si>
    <t>Nguyễn Chí Dũng (Ngô Thị Oanh)</t>
  </si>
  <si>
    <t>Nguyễn Văn Thịnh (vợ Nguyễn Thị Chuyên)</t>
  </si>
  <si>
    <t>Nguyễn Văn Hảo (Nguyễn Thị Ánh)</t>
  </si>
  <si>
    <t>Chưa họp xét</t>
  </si>
  <si>
    <t>Dọc Chiền</t>
  </si>
  <si>
    <t>Đoàn Quang Hiếu (vợ Nguyễn Thị Bé)</t>
  </si>
  <si>
    <t>Nguyễn Xuân Mỵ (Hà Thị Nhâm)</t>
  </si>
  <si>
    <t>Nguyễn Thanh Xuân (Nguyễn Thị Bắc)</t>
  </si>
  <si>
    <t>Nguyễn Thị Sen (Hiến)</t>
  </si>
  <si>
    <t>TDP Cung Nhượng 2: DT giao ruộng năm 1993: 252m²/đx</t>
  </si>
  <si>
    <t>Nguyễn Văn Oanh (vợ là Tạ Thị Vịnh)</t>
  </si>
  <si>
    <t>TDP Hà Vị 2: DT giao ruộng năm 1993: 312m²/đx</t>
  </si>
  <si>
    <t>Nguyễn Thị Đề</t>
  </si>
  <si>
    <t>Đồng Bẩy mẫu</t>
  </si>
  <si>
    <t>Hoàng Thị Ly (Hoàng Văn Tiến) UQ Hoàng Thị Như Hoài</t>
  </si>
  <si>
    <t>Nguyễn Thị Vui</t>
  </si>
  <si>
    <t>Nguyễn Văn Phúc (Hoàng Thị Linh)</t>
  </si>
  <si>
    <t>3 hộ</t>
  </si>
  <si>
    <t>Đồng chiền</t>
  </si>
  <si>
    <t>Nguyễn Văn Toàn UQ Nguyễn Thị Liễu</t>
  </si>
  <si>
    <r>
      <t>đ/m</t>
    </r>
    <r>
      <rPr>
        <vertAlign val="superscript"/>
        <sz val="14"/>
        <rFont val="Times New Roman"/>
        <family val="1"/>
      </rPr>
      <t>3</t>
    </r>
  </si>
  <si>
    <t>TC</t>
  </si>
  <si>
    <t>thửa 97,98 ktra liên quan nhà nguyễn thị lan m toản khởi</t>
  </si>
  <si>
    <t>Theo sổ địa chính GPMB</t>
  </si>
  <si>
    <t>Nguyễn Văn Bình ( Đào Thị Kim Chung)</t>
  </si>
  <si>
    <t>Loa kèn</t>
  </si>
  <si>
    <t>Bãi chanh</t>
  </si>
  <si>
    <t>Ngô Thị Thanh (Nguyễn Văn Ấm)</t>
  </si>
  <si>
    <t>CT đợt 1 nhà toản ngân</t>
  </si>
  <si>
    <r>
      <t>đ/m</t>
    </r>
    <r>
      <rPr>
        <vertAlign val="superscript"/>
        <sz val="14"/>
        <rFont val="Times New Roman"/>
        <family val="1"/>
      </rPr>
      <t>4</t>
    </r>
  </si>
  <si>
    <r>
      <t>đ/m</t>
    </r>
    <r>
      <rPr>
        <vertAlign val="superscript"/>
        <sz val="14"/>
        <rFont val="Times New Roman"/>
        <family val="1"/>
      </rPr>
      <t>5</t>
    </r>
  </si>
  <si>
    <t>ODT</t>
  </si>
  <si>
    <t>Hà Văn Nhị</t>
  </si>
  <si>
    <r>
      <t>đ/m</t>
    </r>
    <r>
      <rPr>
        <vertAlign val="superscript"/>
        <sz val="14"/>
        <rFont val="Times New Roman"/>
        <family val="1"/>
      </rPr>
      <t>6</t>
    </r>
  </si>
  <si>
    <t>13 hộ Hướng</t>
  </si>
  <si>
    <t xml:space="preserve"> ông việt thiếu</t>
  </si>
  <si>
    <t>phường kí xác nhận</t>
  </si>
  <si>
    <t>thiếu giấy ủy quyền sổ lê thị hiền</t>
  </si>
  <si>
    <t>TDP Hướng</t>
  </si>
  <si>
    <t xml:space="preserve"> </t>
  </si>
  <si>
    <t>phường xác nhận lại diện tích hồ sơ</t>
  </si>
  <si>
    <t xml:space="preserve">phường xác nhận lại diện tích hồ sơ, hộ bên cạnh nhà ông Việt (Ngô) thiếu diện tích </t>
  </si>
  <si>
    <t>kiểm tra lại hồ sơ thửa chung với nhà Tuân diện tích thống nhất chia ???</t>
  </si>
  <si>
    <t>xác nhận lại bb đã kê khai thêm 1 thửa cạnh nhà ông Nguyễn Văn Bảy</t>
  </si>
  <si>
    <t xml:space="preserve">kí hoàn thiện xác nhận phường tdp xác nhận lại loại đất </t>
  </si>
  <si>
    <t xml:space="preserve">Tc nhà ông Bảy mới thêm đã thống nhất thửa chung </t>
  </si>
  <si>
    <t>thửa 35 hộ kê nhận là của mỳ phẩm theo sdc kiểm tra lại, chưa có giấy uq</t>
  </si>
  <si>
    <t xml:space="preserve"> bổ sung tb hàng thừa kế  kí xác nhận lại diện tích </t>
  </si>
  <si>
    <t>phường kí xác nhận lại diện tích</t>
  </si>
  <si>
    <t>DỰ ÁN HTKT SỐ 4 THUỘC KHU DÂN CƯ SỐ 4, PHƯỜNG THỌ XƯƠNG, THÀNH PHỐ BẮC GIANG</t>
  </si>
  <si>
    <t>chưa họp xét kiểm tra có đưa thêm nhà này vào pa được ko???</t>
  </si>
  <si>
    <t>DGT</t>
  </si>
  <si>
    <t>1 người con</t>
  </si>
  <si>
    <t>khởi</t>
  </si>
  <si>
    <t xml:space="preserve">khu 3 đã thu hồi </t>
  </si>
  <si>
    <t>để lại do thiếu diện tích các thửa</t>
  </si>
  <si>
    <t>ông Đoàn văn Trung (Liên)đang nhận liên quan tranh chấp ae</t>
  </si>
  <si>
    <t>bỏ lại thửa đất nghĩa địa kiểm tra lại thửa đất 104 đất NTD</t>
  </si>
  <si>
    <t>266-1</t>
  </si>
  <si>
    <t>266-4</t>
  </si>
  <si>
    <t>285-9</t>
  </si>
  <si>
    <t>285-6</t>
  </si>
  <si>
    <t>285-7</t>
  </si>
  <si>
    <t>15 hộ</t>
  </si>
  <si>
    <t>203-3</t>
  </si>
  <si>
    <t>315-2</t>
  </si>
  <si>
    <t>285-5</t>
  </si>
  <si>
    <t>285-10</t>
  </si>
  <si>
    <t>242-2</t>
  </si>
  <si>
    <t>332-4</t>
  </si>
  <si>
    <t>285-4</t>
  </si>
  <si>
    <t>332-3</t>
  </si>
  <si>
    <t>242-1</t>
  </si>
  <si>
    <t>285-3</t>
  </si>
  <si>
    <t>285-11</t>
  </si>
  <si>
    <t>67-3</t>
  </si>
  <si>
    <t>352-1</t>
  </si>
  <si>
    <t>67-6</t>
  </si>
  <si>
    <t>143-3</t>
  </si>
  <si>
    <t>316-4</t>
  </si>
  <si>
    <t>249-2</t>
  </si>
  <si>
    <t>302-1</t>
  </si>
  <si>
    <t>271-2</t>
  </si>
  <si>
    <t>6 hộ</t>
  </si>
  <si>
    <t xml:space="preserve"> Để thực hiện Dự án: Hạ tầng kỹ thuật số 4 thuộc Khu dân cư số 4, phường Thọ Xương, thành phố Bắc Giang</t>
  </si>
  <si>
    <t>Địa điểm: TDP Hướng, TDP Cung Nhượng 1, TDP Cung Nhượng 2, TDP Hà Vị 2, phường Thọ Xương, thành phố Bắc Giang</t>
  </si>
  <si>
    <t>STT</t>
  </si>
  <si>
    <t>Chủ hộ</t>
  </si>
  <si>
    <t>Giấy CNQSD đất</t>
  </si>
  <si>
    <t>Bản đồ GPMB</t>
  </si>
  <si>
    <t>Loại đất thu hồi</t>
  </si>
  <si>
    <t>Số 
thửa</t>
  </si>
  <si>
    <t>Số tờ</t>
  </si>
  <si>
    <t xml:space="preserve">Loại 
đất </t>
  </si>
  <si>
    <t>Loại đất</t>
  </si>
  <si>
    <t xml:space="preserve">TỔNG: </t>
  </si>
  <si>
    <t xml:space="preserve">Đất NN trồng cây hàng năm không có giấy tờ, sử dụng ổn định trước 01/7/2004 </t>
  </si>
  <si>
    <r>
      <t xml:space="preserve">Đất NN trồng cây hàng năm  </t>
    </r>
    <r>
      <rPr>
        <sz val="14"/>
        <color indexed="10"/>
        <rFont val="Times New Roman"/>
        <family val="1"/>
      </rPr>
      <t>có trong GNC</t>
    </r>
    <r>
      <rPr>
        <sz val="14"/>
        <rFont val="Times New Roman"/>
        <family val="1"/>
      </rPr>
      <t xml:space="preserve"> hoặc SĐC</t>
    </r>
  </si>
  <si>
    <t>DT thu hồi trong chỉ giới</t>
  </si>
  <si>
    <t>DT thu hồi ngoài chỉ giới</t>
  </si>
  <si>
    <t>178-1</t>
  </si>
  <si>
    <t>Tổng 37 hộ: 13 hộ Hướng, 15 hộ Cung Nhượng 1, 6 hộ Cung Nhượng 2, 3 hộ Hà Vị</t>
  </si>
  <si>
    <t>Nguyễn Văn Biên (vợ là Nguyễn Thị Liễu  - đại diện hàng thừa kế thứ 1 ông Nguyễn Văn Long)</t>
  </si>
  <si>
    <t xml:space="preserve"> PHƯƠNG ÁN BỒI THƯỜNG, HỖ TRỢ GPMB (ĐỢT 2) KHI NHÀ NƯỚC THU HỒI ĐẤT</t>
  </si>
  <si>
    <t>Trịnh Xuân Chì ( vợ là Hà Thị Tiền)</t>
  </si>
  <si>
    <t>Cao Thị Vượng (chồng là Đàm Văn Thân)</t>
  </si>
  <si>
    <t>Lê Kim Lại (vợ là Nguyễn Thị Thơm)</t>
  </si>
  <si>
    <t>Trịnh Thị Tuyến (chồng là Đào Văn Tuấn)</t>
  </si>
  <si>
    <t>Nguyễn Văn Tỵ (vợ là Nguyễn Thị Trọng)</t>
  </si>
  <si>
    <t>Bùi Thị Chính (chồng là Đoàn Văn Kỳ)</t>
  </si>
  <si>
    <t>Hà Văn Sen (vợ là Hà Thị Tình)</t>
  </si>
  <si>
    <t>Nguyễn Thị Liên (chồng là Trần Văn Lai)</t>
  </si>
  <si>
    <t>Cao Thị Khảm (chồng là Bùi Đình Nhung)</t>
  </si>
  <si>
    <t>Ngô Thị Thanh (chồng là Nguyễn Văn Ấm)</t>
  </si>
  <si>
    <t>Nguyễn Văn Bình ( vợ là Đào Thị Kim Chung)</t>
  </si>
  <si>
    <t>Phương Thị Bắc (chồng là Nguyễn Văn Dậu)</t>
  </si>
  <si>
    <t>Nguyễn Thị Liễu (chồng là Nguyễn Văn Hữu)</t>
  </si>
  <si>
    <t>Nguyễn Văn Đức (vợ là Nguyễn Thị Thà)</t>
  </si>
  <si>
    <t>Nguyễn Chí Dũng (chồng là Ngô Thị Oanh)</t>
  </si>
  <si>
    <t>Nguyễn Văn Chung (vợ là Trần Thị Nghĩa)</t>
  </si>
  <si>
    <t>Nguyễn Văn Thịnh (vợ là Nguyễn Thị Chuyên)</t>
  </si>
  <si>
    <t>Nguyễn Văn Hảo (chồng là Nguyễn Thị Ánh)</t>
  </si>
  <si>
    <t>Nguyễn Văn Yên (vợ là Đào Thị Ngọc)</t>
  </si>
  <si>
    <t>Nguyễn Văn Lương (vợ là Đỗ Thị Hiền)</t>
  </si>
  <si>
    <t>Nguyễn Xuân Mỵ (vợ là Hà Thị Nhâm)</t>
  </si>
  <si>
    <t>Đoàn Thị Qúy (chồng là Đặng Hồng Sơn)</t>
  </si>
  <si>
    <t>Nguyễn Thị Sáu (chồng là Nguyễn Văn Bóng)</t>
  </si>
  <si>
    <t>Nguyễn Văn Mừng ( vợ là Nguyễn Thị Hiếu)</t>
  </si>
  <si>
    <t>Nguyễn Văn Hảo (vợ là Nguyễn Thị Vấn)</t>
  </si>
  <si>
    <t>Phan Thị Thêm (chồng là Phạm Văn Tường)</t>
  </si>
  <si>
    <t>Nguyễn Văn Mỳ ( vợ là Nguyễn Thị Phẩm)</t>
  </si>
  <si>
    <t>Nguyễn Văn Chi (vợ là Nguyễn Thị Hậu)</t>
  </si>
  <si>
    <r>
      <t>Diện tích thu hồi của hộ trong thửa (m</t>
    </r>
    <r>
      <rPr>
        <b/>
        <sz val="14"/>
        <color indexed="8"/>
        <rFont val="Times New Roman"/>
        <family val="1"/>
      </rPr>
      <t>²)</t>
    </r>
  </si>
  <si>
    <r>
      <t>Tổng diện tích thu hồi của hộ (m</t>
    </r>
    <r>
      <rPr>
        <b/>
        <sz val="14"/>
        <color indexed="8"/>
        <rFont val="Times New Roman"/>
        <family val="1"/>
      </rPr>
      <t>²)</t>
    </r>
  </si>
  <si>
    <t>TDP Cung Nhượng 1</t>
  </si>
  <si>
    <t xml:space="preserve">TDP Hướng </t>
  </si>
  <si>
    <t>TDP Cung Nhượng 2</t>
  </si>
  <si>
    <t>TDP Hà Vị 2</t>
  </si>
  <si>
    <t>331-1</t>
  </si>
  <si>
    <t>Lê Thị Hiền UQ Nguyễn Thị Liên (chồng là Trần Văn Lai)</t>
  </si>
  <si>
    <t xml:space="preserve">Dự án: Hạ tầng kỹ thuật số 4 thuộc Khu dân cư số 4, phường Thọ Xương, thành phố Bắc Giang
</t>
  </si>
  <si>
    <t>Tổng cộng kinh phí gia đình được nhận theo hộ (đ)</t>
  </si>
  <si>
    <t>Tờ bản đồ</t>
  </si>
  <si>
    <t>DT hỗ trợ (m2)</t>
  </si>
  <si>
    <t>Mức hỗ trợ (đ/m2)</t>
  </si>
  <si>
    <t xml:space="preserve">A. </t>
  </si>
  <si>
    <t>I</t>
  </si>
  <si>
    <t>Nguyễn Văn Long (đại diện hàng thừa kế thứ 1-Nguyễn Xuân Biên -vợ Nguyễn Thị Liễu)</t>
  </si>
  <si>
    <t>Nguyễn Xuân Biên (vợ là Nguyễn Thị Liễu  - đại diện hàng thừa kế thứ 1 ông Nguyễn Văn Long)</t>
  </si>
  <si>
    <t>(Kèm theo Tờ trình số 689/TTr-TTQĐ, ngày 01 tháng 11 năm 2023 của Trung tâm phát triển quỹ đất và CCN thành phố)</t>
  </si>
  <si>
    <t>Kinh phí HT bàn giao mặt bằng sớm (Khuyến khích tiến độ bàn giao mặt bằng)</t>
  </si>
  <si>
    <r>
      <t>Diện tích (m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>)</t>
    </r>
  </si>
  <si>
    <t>Đất NN trồng cây hàng năm  có trong GNC hoặc SĐC</t>
  </si>
  <si>
    <r>
      <t>Diện 
tích 
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</si>
  <si>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t xml:space="preserve"> DANH SÁCH THU HỒI ĐẤT (ĐỢT 2)</t>
  </si>
  <si>
    <t xml:space="preserve">(Kèm theo Quyết định số 1313/QĐ-UBND ngày 13/11/2023 của UBND thành phố Bắc Giang)  </t>
  </si>
  <si>
    <t>Đinh Phú Toản  (Nguyễn Thị Khởi )</t>
  </si>
  <si>
    <t>Đặng Thị Quân</t>
  </si>
  <si>
    <t>Nguyễn Thị Thảo (Nguyễn Xuân Dân)</t>
  </si>
  <si>
    <t>Nguyễn Đức Thắng</t>
  </si>
  <si>
    <t>Nguyễn Thị Việt (Ngô)</t>
  </si>
  <si>
    <t>Nguyễn Thị Việt ủy quyền cho Nguyễn Văn Hoàn</t>
  </si>
  <si>
    <t>Nguyễn Thị Minh</t>
  </si>
  <si>
    <t>Nguyễn Thị Loan (Tuấn)</t>
  </si>
  <si>
    <t>Nguyễn Văn Sơn ủy quyền 
Nguyễn Thị Loan (Uẩn)</t>
  </si>
  <si>
    <t>Nguyễn Văn Chung (Tuân)</t>
  </si>
  <si>
    <t>Nguyễn Văn Phúc (Linh)</t>
  </si>
  <si>
    <t>Nguyễn Thanh Xuân (Bắc)</t>
  </si>
  <si>
    <t>Nguyễn Xuân Mỵ ủy quyền Nguyễn Kim Chuông (Lan)</t>
  </si>
  <si>
    <t>Nguyễn Thị An (Phượng)</t>
  </si>
  <si>
    <t>Nguyễn Thanh Nga ủy quyền cho Nguyễn Văn Vinh</t>
  </si>
  <si>
    <t>Nguyễn Thanh Nga</t>
  </si>
  <si>
    <t>Nguyễn Mạnh Thắng (Thơm)</t>
  </si>
  <si>
    <t>Nguyễn Văn Thắng (Hiền)</t>
  </si>
  <si>
    <t>Nguyễn Thị Việt ủy quyền Nguyễn Thị Hà</t>
  </si>
  <si>
    <t>Nguyễn Văn Dinh</t>
  </si>
  <si>
    <t>Nguyễn Văn Minh (Thơm)</t>
  </si>
  <si>
    <t>Đào Thị Ngọc (Nguyễn Văn Năm)</t>
  </si>
  <si>
    <t>Nguyễn Thị Quyên (Nguyễn Văn Xuân) UQ Đào Thị Ngọc</t>
  </si>
  <si>
    <t>Dương Văn Thìn (Nguyễn Văn Đồng ) (SĐC Trương Văn Thìn)</t>
  </si>
  <si>
    <t>Nguyễn Văn Ngọc (Hoàng Thị Hoàn)</t>
  </si>
  <si>
    <t>Đoàn Văn Chung (Đặng Thị Liên)</t>
  </si>
  <si>
    <t>Nguyễn Thị Oanh (Kiều Minh Thế)</t>
  </si>
  <si>
    <t>Nguyễn Văn Hưng (UQ Nguyễn Văn Hải)</t>
  </si>
  <si>
    <t>Nguyễn Văn Khoa (Nguyễn Thị Thúy)</t>
  </si>
  <si>
    <t>Vàn Chiền</t>
  </si>
  <si>
    <t xml:space="preserve">Dọc Chiền </t>
  </si>
  <si>
    <t>vàn nghĩa địa</t>
  </si>
  <si>
    <t>54.8</t>
  </si>
  <si>
    <t xml:space="preserve"> Địa điểm: TDP Cung Nhượng 1,2, phường Thọ Xương, thành phố Bắc Giang
</t>
  </si>
  <si>
    <r>
      <t>đ/m</t>
    </r>
    <r>
      <rPr>
        <vertAlign val="superscript"/>
        <sz val="16"/>
        <rFont val="Times New Roman"/>
        <family val="1"/>
      </rPr>
      <t>2</t>
    </r>
  </si>
  <si>
    <r>
      <t>đ/m</t>
    </r>
    <r>
      <rPr>
        <vertAlign val="superscript"/>
        <sz val="16"/>
        <rFont val="Times New Roman"/>
        <family val="1"/>
      </rPr>
      <t>2</t>
    </r>
  </si>
  <si>
    <t>Nguyễn Thị Chén ủy quyền Trần Thị Nhung</t>
  </si>
  <si>
    <r>
      <t>đ/m</t>
    </r>
    <r>
      <rPr>
        <vertAlign val="superscript"/>
        <sz val="16"/>
        <color indexed="8"/>
        <rFont val="Times New Roman"/>
        <family val="1"/>
      </rPr>
      <t>2</t>
    </r>
  </si>
  <si>
    <t>Tc</t>
  </si>
  <si>
    <t>31 hộ</t>
  </si>
  <si>
    <t xml:space="preserve">Cung Nhượng 1: 31 hộ, Cung Nhượng 2: 3 hộ </t>
  </si>
  <si>
    <t xml:space="preserve">Thửa số </t>
  </si>
  <si>
    <t>Số tờ bản đồ</t>
  </si>
  <si>
    <t>Nguyễn Xuân Hùng</t>
  </si>
  <si>
    <t>Nguyễn Thị Hoa (Nguyễn Thị Lan đại diện hàng thừa kế)</t>
  </si>
  <si>
    <t>Hà Văn Đệ (con là Hà Minh Đức -Đàm Ngọc Thủy )</t>
  </si>
  <si>
    <t>Hà Văn Đệ (Hà Thị Hường đại diện hàng thừa kế ủy quyền Hà Minh Đức)</t>
  </si>
  <si>
    <t>DỰ THẢO XIN Ý KIẾN PHƯƠNG ÁN BỒI THƯỜNG, HỖ TRỢ GPMB (ĐỢT 3) KHI NHÀ NƯỚC THU HỒI ĐẤT</t>
  </si>
  <si>
    <t>tru 5m</t>
  </si>
  <si>
    <t xml:space="preserve">2mo </t>
  </si>
  <si>
    <t>xem xet không trừ</t>
  </si>
  <si>
    <t>Nguyễn Thị Việt (Ngô) ủy quyền Nguyễn Thị Hà</t>
  </si>
  <si>
    <t>đã tru 5m</t>
  </si>
  <si>
    <t>hộ dang ns thiếu diện tích</t>
  </si>
  <si>
    <t>Dọc cầu đá</t>
  </si>
  <si>
    <t xml:space="preserve">xác nhận </t>
  </si>
  <si>
    <t>Tru 5 met tài sản mộ, cắt nhà nào đó thiếu</t>
  </si>
  <si>
    <t xml:space="preserve">trừ 6met cho nhà thảo dân </t>
  </si>
  <si>
    <t xml:space="preserve"> 6met cho nhà thảo dân </t>
  </si>
  <si>
    <t>Trồng đào tán</t>
  </si>
  <si>
    <t>Trồng Đào Tán</t>
  </si>
  <si>
    <t>Trồng bạch đàn</t>
  </si>
  <si>
    <t>đ/cây</t>
  </si>
  <si>
    <t>mật độ tối đa cây bạch đàn 5m/1 cây</t>
  </si>
  <si>
    <t>Nguyễn Thị Trường (Nguyễn Thị Sơn )</t>
  </si>
  <si>
    <t>hộ ko nhất trí</t>
  </si>
  <si>
    <t>xác nhận</t>
  </si>
  <si>
    <t>Trồng đào thế</t>
  </si>
  <si>
    <t>trừ 1 mộ tài sản 2,5m</t>
  </si>
  <si>
    <t>Nguyễn Thị Xuân ủy quyền Nguyễn Thị Oanh (Kiều Minh Thế)</t>
  </si>
  <si>
    <r>
      <t>đ/m</t>
    </r>
    <r>
      <rPr>
        <vertAlign val="superscript"/>
        <sz val="16"/>
        <rFont val="Times New Roman"/>
        <family val="1"/>
      </rPr>
      <t>2</t>
    </r>
  </si>
  <si>
    <t>Hoa Cúc</t>
  </si>
  <si>
    <t>Trồng hoa bướm</t>
  </si>
  <si>
    <t>Đặng Thị Quỳnh UQ Nguyễn Thị Loan (Uẩn)</t>
  </si>
  <si>
    <t>2,5 m mo</t>
  </si>
  <si>
    <t>Nguyễn Văn Hậu (Cúc)</t>
  </si>
  <si>
    <t xml:space="preserve">Nguyễn Xuân Thủy </t>
  </si>
  <si>
    <t>Nguyễn Văn Thịnh (Liên)</t>
  </si>
  <si>
    <t>Nguyễn Văn Hoàn (Tuyết)</t>
  </si>
  <si>
    <t>Chung Đào</t>
  </si>
  <si>
    <t>Tỷ lệ</t>
  </si>
  <si>
    <t>7 hộ</t>
  </si>
  <si>
    <t>Cửa Đình</t>
  </si>
  <si>
    <t>Phương Thị Bắc (Dậu )</t>
  </si>
  <si>
    <t>32 hộ</t>
  </si>
  <si>
    <t xml:space="preserve">Cung Nhượng 1:  32 hộ, Cung Nhượng 2:  7 hộ </t>
  </si>
  <si>
    <t xml:space="preserve">Đất NN trồng cây lâu năm không có giấy tờ, sử dụng ổn định trước 01/7/2004 </t>
  </si>
  <si>
    <t>DỰ THẢO LẤY Ý KIẾN PHƯƠNG ÁN BỒI THƯỜNG, HỖ TRỢ GPMB (ĐỢT 4) KHI NHÀ NƯỚC THU HỒI ĐẤT</t>
  </si>
  <si>
    <t xml:space="preserve">Đất NN nuôi trồng thủy sản không có giấy tờ, sử dụng ổn định trước 01/7/2004 </t>
  </si>
  <si>
    <t>Chuyển đổi nghề và tìm kiếm việc làm</t>
  </si>
  <si>
    <t>vàn cầu đá</t>
  </si>
  <si>
    <t>Nguyễn Văn Trường (Tuyết)</t>
  </si>
  <si>
    <t>Nguyễn Thị Cảnh (UQ Đỗ Thị Yến)</t>
  </si>
  <si>
    <t>NTS</t>
  </si>
  <si>
    <t>Ao cá chuyên canh</t>
  </si>
  <si>
    <t>Nguyễn Văn Tường
(Phan Thị Thêm)</t>
  </si>
  <si>
    <t>Nguyễn Văn Chi</t>
  </si>
  <si>
    <t xml:space="preserve">Hà Văn Đệ (Hà Minh Đức đại diện hàng thừa kế) </t>
  </si>
  <si>
    <t>Hoàng Thị Minh</t>
  </si>
  <si>
    <t>Nguyễn Văn Hậu 
(Nguyễn Thị Cúc)</t>
  </si>
  <si>
    <t>Khóm chuối đã có quả (khóm có từ 2 cây trở lên)</t>
  </si>
  <si>
    <t>đ/khóm</t>
  </si>
  <si>
    <t>Xoài ĐK gốc 32 cm ≤ Φ &lt;39cm</t>
  </si>
  <si>
    <t xml:space="preserve"> Nhãn dk tán 6m≤ F&lt;7m </t>
  </si>
  <si>
    <t>Ổi ĐK gốc ≥ 15cm</t>
  </si>
  <si>
    <t>Bưởi ĐK gốc 15cm ≤ Φ &lt;20cm</t>
  </si>
  <si>
    <t xml:space="preserve">Cây trứng cá </t>
  </si>
  <si>
    <t>Rau màu</t>
  </si>
  <si>
    <t>Nguyễn Thị Tuyến (Nguyễn Văn Ngọc)</t>
  </si>
  <si>
    <t>NTD</t>
  </si>
  <si>
    <t>Nguyễn Thị Oanh</t>
  </si>
  <si>
    <t>Nguyễn Văn Ninh (Giới)</t>
  </si>
  <si>
    <t xml:space="preserve">Nguyễn Quỳnh Mai </t>
  </si>
  <si>
    <t>Nguyễn Quốc Hữu (Nguyễn Quốc Duyên đại diện hàng thừa kế)</t>
  </si>
  <si>
    <t>Nguyễn Trương Bào (Sen)</t>
  </si>
  <si>
    <t>vàn vườn đồi</t>
  </si>
  <si>
    <t xml:space="preserve">Nguyễn Thị Loan </t>
  </si>
  <si>
    <t>Nguyễn Văn Phúc</t>
  </si>
  <si>
    <t xml:space="preserve">Tường rào xây gạch chỉ dày 
110mm bổ trụ </t>
  </si>
  <si>
    <t xml:space="preserve">Nhà tạm Loại C </t>
  </si>
  <si>
    <t>Tường rào xây cay đất</t>
  </si>
  <si>
    <t>Vận dụng tường rào fibro</t>
  </si>
  <si>
    <t>Khu chăn nuôi loại B</t>
  </si>
  <si>
    <t>đ/m2 XD</t>
  </si>
  <si>
    <t xml:space="preserve">Bể nước có tấm đan bê tông trát 1 mặt </t>
  </si>
  <si>
    <t>đ/m3</t>
  </si>
  <si>
    <t>Tường rào xây gạch chỉ dày 220mm</t>
  </si>
  <si>
    <t>Bạch dàn D1,3 từ trên 13-&lt;20 cm</t>
  </si>
  <si>
    <t xml:space="preserve">Cổng sát </t>
  </si>
  <si>
    <t>Bưởi ĐK gốc 5cm ≤ Φ &lt;7cm</t>
  </si>
  <si>
    <t>4 cây Đào thế 50cm≤ chiều cao &lt; 150cm</t>
  </si>
  <si>
    <t>51,2</t>
  </si>
  <si>
    <t>28,8</t>
  </si>
  <si>
    <t xml:space="preserve">Keo D1,3 từ trên 13-&lt;20 cm </t>
  </si>
  <si>
    <t>10 cây Đào thế 50cm≤ chiều cao &lt; 150cm</t>
  </si>
  <si>
    <t>15 cây Đào thế 50cm≤ chiều cao &lt; 150cm</t>
  </si>
  <si>
    <t>Nguyễn Thị Cảnh</t>
  </si>
  <si>
    <t>Bồi thường chi phí đầu tư còn lại vào đất</t>
  </si>
  <si>
    <t>Nguyễn Văn Hải</t>
  </si>
  <si>
    <t>Tổng cộng 15 hộ</t>
  </si>
  <si>
    <r>
      <t>đ/m</t>
    </r>
    <r>
      <rPr>
        <vertAlign val="superscript"/>
        <sz val="16"/>
        <color indexed="8"/>
        <rFont val="Times New Roman"/>
        <family val="1"/>
      </rPr>
      <t>2</t>
    </r>
  </si>
  <si>
    <r>
      <t>đ/m</t>
    </r>
    <r>
      <rPr>
        <vertAlign val="superscript"/>
        <sz val="16"/>
        <color indexed="8"/>
        <rFont val="Times New Roman"/>
        <family val="1"/>
      </rPr>
      <t>2</t>
    </r>
  </si>
  <si>
    <t>Cây Đào thế 50cm≤ chiều cao &lt; 150cm</t>
  </si>
  <si>
    <t>Địa điểm: TDP Cung Nhượng 1,2, phường Thọ Xương, thành phố Bắc Giang</t>
  </si>
  <si>
    <t>Mục</t>
  </si>
  <si>
    <t>5=2*4</t>
  </si>
  <si>
    <t>B</t>
  </si>
  <si>
    <t>Kinh phí bồi thường, hỗ trợ về đất: (=I+II+III)</t>
  </si>
  <si>
    <t>I.</t>
  </si>
  <si>
    <t>Bồi thường về đất nông nghiệp trồng cây hàng năm có trong GCNQSD đất hoặc sổ địa chính</t>
  </si>
  <si>
    <t xml:space="preserve">Bồi thường về đất nông nghiệp trồng cây hàng năm không có trong GCNQSD đất hoặc sổ địa chính sử dụng ổn định trước 01/7/2004 </t>
  </si>
  <si>
    <t>II.</t>
  </si>
  <si>
    <t>Kinh phí bồi thường tài sản trên đất</t>
  </si>
  <si>
    <t>III.</t>
  </si>
  <si>
    <t>Hỗ trợ ổn định đời sống đất nông nghiệp trồng cây hàng năm</t>
  </si>
  <si>
    <t>Hỗ trợ chuyển đổi nghề nghiệp và đào tạo việc làm đất trồng cây hàng năm</t>
  </si>
  <si>
    <t>Hỗ trợ chuyển đổi nghề nghiệp và đào tạo việc làm đất trồng cây lâu năm</t>
  </si>
  <si>
    <t>Hỗ trợ đào tạo nghề: 3.500.000đ/LĐ</t>
  </si>
  <si>
    <t>đ/đx</t>
  </si>
  <si>
    <t>C</t>
  </si>
  <si>
    <t>Đối với đất</t>
  </si>
  <si>
    <t>BẢNG TỔNG HỢP KINH PHÍ BỒI THƯỜNG, HỖ TRỢ GPMB (ĐỢT 4)
Khi Nhà nước thu hồi đất để thực hiện dự án : Hạ tầng kỹ thuật số 4 thuộc Khu dân cư số 4, phường Thọ Xương, thành phố Bắc Giang</t>
  </si>
  <si>
    <t>23,6</t>
  </si>
  <si>
    <t xml:space="preserve">Bồi thường về đất nông nghiệp nuôi trồng thủy sản không có trong GCNQSD đất hoặc sổ địa chính sử dụng ổn định trước 01/7/2004 </t>
  </si>
  <si>
    <t>Hỗ trợ ổn định đời sống đất nông nghiệp nuôi trồng thủy sản</t>
  </si>
  <si>
    <r>
      <t>đ/m</t>
    </r>
    <r>
      <rPr>
        <vertAlign val="superscript"/>
        <sz val="16"/>
        <color indexed="8"/>
        <rFont val="Times New Roman"/>
        <family val="1"/>
      </rPr>
      <t>2</t>
    </r>
  </si>
  <si>
    <t>Sân bê tông, láng vữa xi măng</t>
  </si>
  <si>
    <t xml:space="preserve">Nguyễn Thị Cảnh </t>
  </si>
  <si>
    <t xml:space="preserve">Bồi thường về đất nông nghiệp trồng cây lâu năm không có trong GCNQSD đất hoặc sổ địa chính sử dụng ổn định trước 01/7/2004 </t>
  </si>
  <si>
    <t>Hỗ trợ ổn định đời sống đất nông nghiệp trồng cây lâu năm</t>
  </si>
  <si>
    <t>Hỗ trợ chuyển đổi nghề nghiệp và đào tạo việc làm đất nuôi trồng thủy sản</t>
  </si>
  <si>
    <t>Kinh phí bồi thường về đất: (=1+2+3+4)</t>
  </si>
  <si>
    <r>
      <t>đ/m</t>
    </r>
    <r>
      <rPr>
        <vertAlign val="superscript"/>
        <sz val="18"/>
        <color indexed="8"/>
        <rFont val="Times New Roman"/>
        <family val="1"/>
      </rPr>
      <t>2</t>
    </r>
  </si>
  <si>
    <r>
      <t>đ/m</t>
    </r>
    <r>
      <rPr>
        <vertAlign val="superscript"/>
        <sz val="18"/>
        <color indexed="8"/>
        <rFont val="Times New Roman"/>
        <family val="1"/>
      </rPr>
      <t>2</t>
    </r>
  </si>
  <si>
    <t>BẢNG TỔNG HỢP TÀI SẢN (ĐỢT 3) 
Để thực hiện dự án ĐTXD công trình: Khuôn viên cây xanh và hệ thống tiêu thoát nước cạnh Cụm công nghiệp Thọ Xương, thành phố Bắc Giang</t>
  </si>
  <si>
    <t>Nội dung</t>
  </si>
  <si>
    <t>Mức BT, hỗ trợ (%)</t>
  </si>
  <si>
    <t>7=4*5*6</t>
  </si>
  <si>
    <t>Tổng cộng</t>
  </si>
  <si>
    <t>đ/m²</t>
  </si>
  <si>
    <t>Bạch đàn D1,3 từ trên 13-&lt;20 cm</t>
  </si>
  <si>
    <t>Cây trồng hàng năm</t>
  </si>
  <si>
    <t xml:space="preserve">Cổng sắt </t>
  </si>
  <si>
    <t>Địa điểm: TDP Cung Nhượng 1, Cung Nhượng 2, phường Thọ Xương, thành phố Bắc Giang</t>
  </si>
  <si>
    <t>(Kèm theo Tờ trình số     TTr-TTQĐ ngày        /3/2024 của Trung tâm Phát triển quỹ đất và Cụm công nghiệp thành phố)</t>
  </si>
  <si>
    <t>Dự toán kinh phí hỗ trợ bàn giao mặt bằng sớm (khuyến khích tiến độ bàn giao mặt bằng)</t>
  </si>
  <si>
    <t>Dt thu hồi ngoài chỉ giới</t>
  </si>
  <si>
    <t>Khung lưới B40</t>
  </si>
  <si>
    <t xml:space="preserve">Nguyễn Văn Chiến </t>
  </si>
  <si>
    <t>121,7</t>
  </si>
  <si>
    <t>CLN</t>
  </si>
  <si>
    <t>8 hộ</t>
  </si>
  <si>
    <t>Dương Thị Giới (Ninh)</t>
  </si>
  <si>
    <t xml:space="preserve"> Cây Đào thế 50cm≤ chiều cao &lt; 150cm</t>
  </si>
  <si>
    <t xml:space="preserve"> PHƯƠNG ÁN BỒI THƯỜNG, HỖ TRỢ GPMB (ĐỢT 4) KHI NHÀ NƯỚC THU HỒI ĐẤT</t>
  </si>
  <si>
    <t>Tài sản được hình thành sau 01/07/2014 không bồi thường</t>
  </si>
  <si>
    <t xml:space="preserve"> Địa điểm: TDP Cung Nhượng 1,2, phường Thọ Xương, thành phố Bắc Giang</t>
  </si>
  <si>
    <t>Đất công ích do UBND phường quản lý</t>
  </si>
  <si>
    <t>UBND phường Thọ Xương</t>
  </si>
  <si>
    <t>Đồi bãi chanh</t>
  </si>
  <si>
    <t>Hỗ trợ kinh phí bồi thường đất công ích về UBND phường Thọ Xương</t>
  </si>
  <si>
    <t>Kinh phí hỗ trợ: (=1+2+3+4+5+6+7+8)</t>
  </si>
  <si>
    <t>Hỗ trợ Đất công ích do UBND phường quản lý (đất trồng cây hàng năm)</t>
  </si>
  <si>
    <t>A. Tổng kinh phí đề nghị phê duyệt: (=B+C)</t>
  </si>
  <si>
    <t>DANH SÁCH HỖ TRỢ BÀN GIAO MẶT BẰNG SỚM - KHUYẾN KHÍCH TiẾN ĐỘ BÀN GIAO MẶT BẰNG SỚM (ĐỢT 3)</t>
  </si>
  <si>
    <t>Tổng cộng:=I+II</t>
  </si>
  <si>
    <t>(Kèm theo Tờ trình số     /TTr-TTQĐ, ngày 5 tháng 4 năm 2024 của Trung tâm phát triển quỹ đất và CCN thành phố)</t>
  </si>
  <si>
    <t>DANH SÁCH ĐỀ NGHỊ THU HỒI ĐẤT (ĐỢT 4)</t>
  </si>
  <si>
    <t>Dự án: HTKT số 4  thuộc Khu dân cư số 4, phường Thọ Xương, thành phố Bắc Giang</t>
  </si>
  <si>
    <r>
      <t xml:space="preserve">Địa điểm: TDP Cung Nhượng 1, 2 phường Thọ Xương, thành phố Bắc Giang
</t>
    </r>
    <r>
      <rPr>
        <i/>
        <sz val="14"/>
        <rFont val="Times New Roman"/>
        <family val="1"/>
      </rPr>
      <t>(Kèm theo Tờ trình số 11/TTr-UBND ngày 04/4/2024 của UBND phường Thọ Xương)</t>
    </r>
  </si>
  <si>
    <t>Chủ sử dụng đất</t>
  </si>
  <si>
    <t>Theo GCN QSD đất, sổ địa chính</t>
  </si>
  <si>
    <t>DT thu hồi trong chỉ giới (m2)</t>
  </si>
  <si>
    <r>
      <t>DT thu hồi 
ngoài chỉ giới
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</si>
  <si>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Tổng DT thu hồi theo thửa 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</si>
  <si>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r>
      <t>Tổng DT thu hồi theo hộ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</si>
  <si>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Số thửa</t>
  </si>
  <si>
    <t>DT giao
(m2)</t>
  </si>
  <si>
    <r>
      <t>Diện tích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</si>
  <si>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Đất bằng chưa sử dụng do UBND phường quản lý</t>
  </si>
  <si>
    <t>Đất nghĩa địa do UBND phường quản lý</t>
  </si>
  <si>
    <t>Tổng</t>
  </si>
  <si>
    <t>Nguyễn Văn Trường (Nguyễn Thị Tuyết)</t>
  </si>
  <si>
    <t>191-8</t>
  </si>
  <si>
    <t>191-7</t>
  </si>
  <si>
    <t>250-1</t>
  </si>
  <si>
    <t>Nguyễn Thị Oanh
(Kiều Minh Thế)</t>
  </si>
  <si>
    <t>Nguyễn Văn Linh
(Dương Thị Giới)</t>
  </si>
  <si>
    <t>Nguyễn Văn Chiến
(Nông Thị Tuyến)</t>
  </si>
  <si>
    <t>BCS</t>
  </si>
  <si>
    <t>Nguyễn Thị Loan và Nguyễn Văn Phúc</t>
  </si>
  <si>
    <t>43-2</t>
  </si>
  <si>
    <t>Nguyễn Thị Loan và Nguyễn Văn Phúc đang tranh chấp</t>
  </si>
  <si>
    <t>144-5</t>
  </si>
  <si>
    <t>CT</t>
  </si>
  <si>
    <t>Nguyễn Trương Bào (Nguyễn Thị Sen)</t>
  </si>
  <si>
    <t>(Kèm theo Tờ trình số 11/TTr-UBND ngày 04/4/2024 của UBND phường Thọ Xương)</t>
  </si>
  <si>
    <t xml:space="preserve">Nguyễn Thị Loan (Phan Văn Uẩn -chồng ), Nguyễn Văn Phúc (Đang tranh chấp ) </t>
  </si>
  <si>
    <t>(Kèm theo Tờ trình số       /TTr-TTQĐ, ngày 5 tháng 4 năm 2024 của Trung tâm phát triển quỹ đất và CCN thành phố)</t>
  </si>
  <si>
    <t xml:space="preserve">Nguyễn Thị Loan (Uẩn), Nguyễn Văn Phúc đang tranh chấp </t>
  </si>
  <si>
    <t>(Kèm theo Tờ trình số  172 /TTr-TTQĐ, ngày  5 tháng 4 năm 2024 của Trung tâm phát triển quỹ đất và CCN thành phố)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</si>
</sst>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#,##0.0"/>
    <numFmt numFmtId="174" formatCode="_(* #,##0_);_(* \(#,##0\);_(* &quot;-&quot;??_);_(@_)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_);_(@_)"/>
    <numFmt numFmtId="181" formatCode="_(* #,##0.000_);_(* \(#,##0.000\);_(* &quot;-&quot;??_);_(@_)"/>
    <numFmt numFmtId="182" formatCode="_(* #,##0.0000_);_(* \(#,##0.0000\);_(* &quot;-&quot;??_);_(@_)"/>
    <numFmt numFmtId="183" formatCode="#,##0.00\ &quot;₫&quot;"/>
    <numFmt numFmtId="184" formatCode="#,##0\ &quot;₫&quot;"/>
    <numFmt numFmtId="185" formatCode="#,##0\ _₫"/>
    <numFmt numFmtId="186" formatCode="#,##0.000"/>
    <numFmt numFmtId="187" formatCode="#,##0.0000"/>
    <numFmt numFmtId="188" formatCode="#,##0.00000"/>
    <numFmt numFmtId="189" formatCode="_(* #,##0.000_);_(* \(#,##0.000\);_(* &quot;-&quot;???_);_(@_)"/>
    <numFmt numFmtId="190" formatCode="0.000"/>
    <numFmt numFmtId="191" formatCode="0.0000"/>
    <numFmt numFmtId="192" formatCode="0.00000000000000"/>
    <numFmt numFmtId="193" formatCode="0.000000000000000"/>
    <numFmt numFmtId="194" formatCode="0.0000000000000"/>
    <numFmt numFmtId="195" formatCode="0.000000000000"/>
    <numFmt numFmtId="196" formatCode="0.0000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#,##0.000000"/>
    <numFmt numFmtId="205" formatCode="#,##0.0000000"/>
    <numFmt numFmtId="206" formatCode="#,##0.00000000"/>
    <numFmt numFmtId="207" formatCode="#,##0.000000000"/>
    <numFmt numFmtId="208" formatCode="_(* #,##0_);_(* \(#,##0\);_(* &quot;-&quot;?_);_(@_)"/>
    <numFmt numFmtId="209" formatCode="_(* #,##0.00_);_(* \(#,##0.00\);_(* &quot;-&quot;?_);_(@_)"/>
    <numFmt numFmtId="210" formatCode="#.##0.0"/>
    <numFmt numFmtId="211" formatCode="#.##0"/>
  </numFmts>
  <fonts count="12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.VnTime"/>
      <family val="2"/>
    </font>
    <font>
      <sz val="14"/>
      <name val="Arial"/>
      <family val="2"/>
    </font>
    <font>
      <sz val="13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6"/>
      <name val="Arial"/>
      <family val="2"/>
    </font>
    <font>
      <vertAlign val="superscript"/>
      <sz val="16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3"/>
      <name val="Arial"/>
      <family val="2"/>
    </font>
    <font>
      <sz val="16"/>
      <color indexed="10"/>
      <name val="Times New Roman"/>
      <family val="1"/>
    </font>
    <font>
      <sz val="8"/>
      <name val="Arial"/>
      <family val="2"/>
    </font>
    <font>
      <b/>
      <sz val="22"/>
      <name val="Times New Roman"/>
      <family val="1"/>
    </font>
    <font>
      <vertAlign val="superscript"/>
      <sz val="18"/>
      <color indexed="8"/>
      <name val="Times New Roman"/>
      <family val="1"/>
    </font>
    <font>
      <i/>
      <sz val="16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3"/>
      <color indexed="8"/>
      <name val="Times New Roman"/>
      <family val="1"/>
    </font>
    <font>
      <sz val="18"/>
      <color indexed="8"/>
      <name val="Times New Roman"/>
      <family val="1"/>
    </font>
    <font>
      <b/>
      <sz val="17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Arial"/>
      <family val="2"/>
    </font>
    <font>
      <i/>
      <sz val="16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16"/>
      <color indexed="8"/>
      <name val="Times New Roman"/>
      <family val="1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3"/>
      <color theme="1"/>
      <name val="Times New Roman"/>
      <family val="1"/>
    </font>
    <font>
      <sz val="18"/>
      <color theme="1"/>
      <name val="Times New Roman"/>
      <family val="1"/>
    </font>
    <font>
      <b/>
      <sz val="17"/>
      <color theme="1"/>
      <name val="Times New Roman"/>
      <family val="1"/>
    </font>
    <font>
      <sz val="13"/>
      <color rgb="FFFF0000"/>
      <name val="Times New Roman"/>
      <family val="1"/>
    </font>
    <font>
      <sz val="16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Arial"/>
      <family val="2"/>
    </font>
    <font>
      <i/>
      <sz val="16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16"/>
      <color theme="1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1" applyNumberFormat="0" applyAlignment="0" applyProtection="0"/>
    <xf numFmtId="0" fontId="93" fillId="0" borderId="6" applyNumberFormat="0" applyFill="0" applyAlignment="0" applyProtection="0"/>
    <xf numFmtId="0" fontId="94" fillId="30" borderId="0" applyNumberFormat="0" applyBorder="0" applyAlignment="0" applyProtection="0"/>
    <xf numFmtId="0" fontId="4" fillId="0" borderId="0">
      <alignment/>
      <protection/>
    </xf>
    <xf numFmtId="0" fontId="27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1" borderId="7" applyNumberFormat="0" applyFont="0" applyAlignment="0" applyProtection="0"/>
    <xf numFmtId="0" fontId="95" fillId="26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104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43" fontId="1" fillId="32" borderId="0" xfId="42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vertical="center" wrapText="1"/>
    </xf>
    <xf numFmtId="4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 wrapText="1"/>
    </xf>
    <xf numFmtId="43" fontId="1" fillId="32" borderId="0" xfId="0" applyNumberFormat="1" applyFont="1" applyFill="1" applyBorder="1" applyAlignment="1">
      <alignment horizontal="center" wrapText="1"/>
    </xf>
    <xf numFmtId="43" fontId="1" fillId="32" borderId="11" xfId="42" applyFont="1" applyFill="1" applyBorder="1" applyAlignment="1">
      <alignment horizontal="center" vertical="center" wrapText="1"/>
    </xf>
    <xf numFmtId="173" fontId="1" fillId="32" borderId="11" xfId="0" applyNumberFormat="1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left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/>
    </xf>
    <xf numFmtId="0" fontId="2" fillId="32" borderId="10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2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174" fontId="0" fillId="32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99" fillId="0" borderId="10" xfId="0" applyNumberFormat="1" applyFont="1" applyFill="1" applyBorder="1" applyAlignment="1">
      <alignment horizontal="center" vertical="center"/>
    </xf>
    <xf numFmtId="2" fontId="99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4" fontId="2" fillId="0" borderId="1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2" fillId="0" borderId="10" xfId="61" applyFont="1" applyFill="1" applyBorder="1" applyAlignment="1">
      <alignment horizontal="center" vertical="center" wrapText="1"/>
      <protection/>
    </xf>
    <xf numFmtId="173" fontId="1" fillId="0" borderId="15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99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3" fontId="1" fillId="0" borderId="0" xfId="42" applyFont="1" applyFill="1" applyBorder="1" applyAlignment="1">
      <alignment horizontal="center" wrapText="1"/>
    </xf>
    <xf numFmtId="174" fontId="1" fillId="0" borderId="0" xfId="42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3" fontId="1" fillId="0" borderId="11" xfId="42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75" fontId="2" fillId="0" borderId="10" xfId="4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5" fontId="2" fillId="0" borderId="11" xfId="42" applyNumberFormat="1" applyFont="1" applyFill="1" applyBorder="1" applyAlignment="1">
      <alignment horizontal="center" vertical="center" wrapText="1"/>
    </xf>
    <xf numFmtId="174" fontId="2" fillId="0" borderId="11" xfId="42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73" fontId="2" fillId="0" borderId="11" xfId="0" applyNumberFormat="1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4" fontId="2" fillId="0" borderId="11" xfId="0" applyNumberFormat="1" applyFont="1" applyFill="1" applyBorder="1" applyAlignment="1">
      <alignment horizontal="center" vertical="center"/>
    </xf>
    <xf numFmtId="2" fontId="99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2" fontId="2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61" applyFont="1" applyFill="1" applyBorder="1" applyAlignment="1">
      <alignment horizontal="left" vertical="center" wrapText="1"/>
      <protection/>
    </xf>
    <xf numFmtId="2" fontId="99" fillId="0" borderId="11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13" fillId="32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1" fontId="99" fillId="0" borderId="10" xfId="0" applyNumberFormat="1" applyFont="1" applyFill="1" applyBorder="1" applyAlignment="1">
      <alignment horizontal="center" vertical="center"/>
    </xf>
    <xf numFmtId="172" fontId="99" fillId="0" borderId="10" xfId="0" applyNumberFormat="1" applyFont="1" applyFill="1" applyBorder="1" applyAlignment="1">
      <alignment horizontal="center" vertical="center"/>
    </xf>
    <xf numFmtId="1" fontId="99" fillId="0" borderId="10" xfId="0" applyNumberFormat="1" applyFont="1" applyFill="1" applyBorder="1" applyAlignment="1">
      <alignment horizontal="center" vertical="center" wrapText="1"/>
    </xf>
    <xf numFmtId="172" fontId="99" fillId="0" borderId="10" xfId="0" applyNumberFormat="1" applyFont="1" applyFill="1" applyBorder="1" applyAlignment="1">
      <alignment horizontal="center" vertical="center" wrapText="1"/>
    </xf>
    <xf numFmtId="2" fontId="99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" fontId="99" fillId="0" borderId="11" xfId="0" applyNumberFormat="1" applyFont="1" applyFill="1" applyBorder="1" applyAlignment="1">
      <alignment horizontal="center" vertical="center"/>
    </xf>
    <xf numFmtId="172" fontId="99" fillId="0" borderId="11" xfId="0" applyNumberFormat="1" applyFont="1" applyFill="1" applyBorder="1" applyAlignment="1">
      <alignment horizontal="center" vertical="center"/>
    </xf>
    <xf numFmtId="1" fontId="99" fillId="0" borderId="11" xfId="0" applyNumberFormat="1" applyFont="1" applyFill="1" applyBorder="1" applyAlignment="1">
      <alignment horizontal="center" vertical="center" wrapText="1"/>
    </xf>
    <xf numFmtId="172" fontId="99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99" fillId="32" borderId="10" xfId="0" applyNumberFormat="1" applyFont="1" applyFill="1" applyBorder="1" applyAlignment="1">
      <alignment horizontal="center" vertical="center"/>
    </xf>
    <xf numFmtId="2" fontId="99" fillId="32" borderId="10" xfId="0" applyNumberFormat="1" applyFont="1" applyFill="1" applyBorder="1" applyAlignment="1">
      <alignment horizontal="center" vertical="center" wrapText="1"/>
    </xf>
    <xf numFmtId="0" fontId="99" fillId="0" borderId="10" xfId="62" applyFont="1" applyFill="1" applyBorder="1" applyAlignment="1">
      <alignment horizontal="center" vertical="center"/>
      <protection/>
    </xf>
    <xf numFmtId="0" fontId="99" fillId="0" borderId="10" xfId="6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172" fontId="100" fillId="35" borderId="16" xfId="62" applyNumberFormat="1" applyFont="1" applyFill="1" applyBorder="1" applyAlignment="1">
      <alignment horizontal="center" vertical="center" wrapText="1"/>
      <protection/>
    </xf>
    <xf numFmtId="3" fontId="100" fillId="0" borderId="17" xfId="62" applyNumberFormat="1" applyFont="1" applyBorder="1" applyAlignment="1">
      <alignment horizontal="center" vertical="center" wrapText="1"/>
      <protection/>
    </xf>
    <xf numFmtId="0" fontId="101" fillId="0" borderId="11" xfId="6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2" fontId="100" fillId="35" borderId="10" xfId="62" applyNumberFormat="1" applyFont="1" applyFill="1" applyBorder="1" applyAlignment="1">
      <alignment horizontal="center" vertical="center" wrapText="1"/>
      <protection/>
    </xf>
    <xf numFmtId="0" fontId="101" fillId="0" borderId="10" xfId="6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99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100" fillId="0" borderId="10" xfId="62" applyFont="1" applyBorder="1" applyAlignment="1">
      <alignment horizontal="center" vertical="center" wrapText="1"/>
      <protection/>
    </xf>
    <xf numFmtId="0" fontId="100" fillId="32" borderId="10" xfId="62" applyFont="1" applyFill="1" applyBorder="1" applyAlignment="1">
      <alignment horizontal="center" vertical="center" wrapText="1"/>
      <protection/>
    </xf>
    <xf numFmtId="0" fontId="100" fillId="0" borderId="11" xfId="62" applyFont="1" applyBorder="1" applyAlignment="1">
      <alignment vertical="center" wrapText="1"/>
      <protection/>
    </xf>
    <xf numFmtId="0" fontId="101" fillId="35" borderId="10" xfId="62" applyFont="1" applyFill="1" applyBorder="1" applyAlignment="1">
      <alignment horizontal="center" vertical="center" wrapText="1"/>
      <protection/>
    </xf>
    <xf numFmtId="172" fontId="101" fillId="35" borderId="10" xfId="62" applyNumberFormat="1" applyFont="1" applyFill="1" applyBorder="1" applyAlignment="1">
      <alignment horizontal="center" vertical="center" wrapText="1"/>
      <protection/>
    </xf>
    <xf numFmtId="0" fontId="100" fillId="35" borderId="16" xfId="62" applyFont="1" applyFill="1" applyBorder="1" applyAlignment="1">
      <alignment horizontal="center" vertical="center" wrapText="1"/>
      <protection/>
    </xf>
    <xf numFmtId="3" fontId="100" fillId="0" borderId="18" xfId="62" applyNumberFormat="1" applyFont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vertical="center"/>
    </xf>
    <xf numFmtId="172" fontId="100" fillId="0" borderId="10" xfId="62" applyNumberFormat="1" applyFont="1" applyBorder="1" applyAlignment="1">
      <alignment horizontal="center" vertical="center" wrapText="1"/>
      <protection/>
    </xf>
    <xf numFmtId="173" fontId="100" fillId="0" borderId="10" xfId="62" applyNumberFormat="1" applyFont="1" applyBorder="1" applyAlignment="1">
      <alignment horizontal="center" vertical="center" wrapText="1"/>
      <protection/>
    </xf>
    <xf numFmtId="173" fontId="100" fillId="32" borderId="11" xfId="0" applyNumberFormat="1" applyFont="1" applyFill="1" applyBorder="1" applyAlignment="1">
      <alignment horizontal="center" vertical="center" wrapText="1"/>
    </xf>
    <xf numFmtId="3" fontId="99" fillId="32" borderId="10" xfId="0" applyNumberFormat="1" applyFont="1" applyFill="1" applyBorder="1" applyAlignment="1">
      <alignment horizontal="center" vertical="center" wrapText="1"/>
    </xf>
    <xf numFmtId="173" fontId="100" fillId="32" borderId="17" xfId="0" applyNumberFormat="1" applyFont="1" applyFill="1" applyBorder="1" applyAlignment="1">
      <alignment horizontal="center" vertical="center" wrapText="1"/>
    </xf>
    <xf numFmtId="173" fontId="100" fillId="32" borderId="15" xfId="0" applyNumberFormat="1" applyFont="1" applyFill="1" applyBorder="1" applyAlignment="1">
      <alignment horizontal="center" vertical="center" wrapText="1"/>
    </xf>
    <xf numFmtId="173" fontId="100" fillId="32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/>
    </xf>
    <xf numFmtId="0" fontId="100" fillId="35" borderId="11" xfId="62" applyFont="1" applyFill="1" applyBorder="1" applyAlignment="1">
      <alignment horizontal="center" vertical="center" wrapText="1"/>
      <protection/>
    </xf>
    <xf numFmtId="172" fontId="2" fillId="0" borderId="0" xfId="0" applyNumberFormat="1" applyFont="1" applyAlignment="1">
      <alignment/>
    </xf>
    <xf numFmtId="1" fontId="101" fillId="0" borderId="10" xfId="62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1" fontId="99" fillId="33" borderId="10" xfId="0" applyNumberFormat="1" applyFont="1" applyFill="1" applyBorder="1" applyAlignment="1">
      <alignment horizontal="center" vertical="center"/>
    </xf>
    <xf numFmtId="172" fontId="99" fillId="33" borderId="10" xfId="0" applyNumberFormat="1" applyFont="1" applyFill="1" applyBorder="1" applyAlignment="1">
      <alignment horizontal="center" vertical="center"/>
    </xf>
    <xf numFmtId="2" fontId="99" fillId="33" borderId="10" xfId="0" applyNumberFormat="1" applyFont="1" applyFill="1" applyBorder="1" applyAlignment="1">
      <alignment horizontal="center" vertical="center" wrapText="1"/>
    </xf>
    <xf numFmtId="172" fontId="99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1" fillId="33" borderId="1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74" fontId="2" fillId="33" borderId="10" xfId="42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73" fontId="1" fillId="33" borderId="17" xfId="0" applyNumberFormat="1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0" xfId="62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vertical="center"/>
      <protection/>
    </xf>
    <xf numFmtId="0" fontId="2" fillId="33" borderId="0" xfId="62" applyFont="1" applyFill="1">
      <alignment/>
      <protection/>
    </xf>
    <xf numFmtId="0" fontId="2" fillId="33" borderId="10" xfId="0" applyFont="1" applyFill="1" applyBorder="1" applyAlignment="1">
      <alignment horizontal="center" vertical="center"/>
    </xf>
    <xf numFmtId="3" fontId="2" fillId="33" borderId="0" xfId="62" applyNumberFormat="1" applyFont="1" applyFill="1">
      <alignment/>
      <protection/>
    </xf>
    <xf numFmtId="0" fontId="2" fillId="33" borderId="10" xfId="61" applyFont="1" applyFill="1" applyBorder="1" applyAlignment="1">
      <alignment horizontal="center" vertical="center" wrapText="1"/>
      <protection/>
    </xf>
    <xf numFmtId="2" fontId="99" fillId="33" borderId="10" xfId="0" applyNumberFormat="1" applyFont="1" applyFill="1" applyBorder="1" applyAlignment="1">
      <alignment horizontal="center" vertical="center"/>
    </xf>
    <xf numFmtId="2" fontId="99" fillId="33" borderId="11" xfId="0" applyNumberFormat="1" applyFont="1" applyFill="1" applyBorder="1" applyAlignment="1">
      <alignment horizontal="center" vertical="center" wrapText="1"/>
    </xf>
    <xf numFmtId="173" fontId="1" fillId="33" borderId="15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6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2" fontId="99" fillId="33" borderId="10" xfId="0" applyNumberFormat="1" applyFont="1" applyFill="1" applyBorder="1" applyAlignment="1">
      <alignment horizontal="left" vertical="center" wrapText="1"/>
    </xf>
    <xf numFmtId="173" fontId="1" fillId="33" borderId="17" xfId="0" applyNumberFormat="1" applyFont="1" applyFill="1" applyBorder="1" applyAlignment="1">
      <alignment vertical="center" wrapText="1"/>
    </xf>
    <xf numFmtId="173" fontId="1" fillId="33" borderId="15" xfId="0" applyNumberFormat="1" applyFont="1" applyFill="1" applyBorder="1" applyAlignment="1">
      <alignment vertical="center" wrapText="1"/>
    </xf>
    <xf numFmtId="2" fontId="99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1" fontId="99" fillId="33" borderId="11" xfId="0" applyNumberFormat="1" applyFont="1" applyFill="1" applyBorder="1" applyAlignment="1">
      <alignment horizontal="center" vertical="center"/>
    </xf>
    <xf numFmtId="172" fontId="99" fillId="33" borderId="11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/>
    </xf>
    <xf numFmtId="172" fontId="99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73" fontId="2" fillId="33" borderId="17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99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173" fontId="2" fillId="34" borderId="15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174" fontId="2" fillId="34" borderId="10" xfId="42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wrapText="1"/>
    </xf>
    <xf numFmtId="173" fontId="1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72" fontId="99" fillId="33" borderId="17" xfId="0" applyNumberFormat="1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7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173" fontId="2" fillId="34" borderId="17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172" fontId="2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172" fontId="99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99" fillId="33" borderId="10" xfId="0" applyFont="1" applyFill="1" applyBorder="1" applyAlignment="1">
      <alignment horizontal="center" vertical="center"/>
    </xf>
    <xf numFmtId="0" fontId="99" fillId="33" borderId="10" xfId="0" applyFont="1" applyFill="1" applyBorder="1" applyAlignment="1">
      <alignment horizontal="left" vertical="center" wrapText="1"/>
    </xf>
    <xf numFmtId="0" fontId="99" fillId="34" borderId="10" xfId="0" applyFont="1" applyFill="1" applyBorder="1" applyAlignment="1">
      <alignment horizontal="left" vertical="center" wrapText="1"/>
    </xf>
    <xf numFmtId="0" fontId="99" fillId="34" borderId="10" xfId="0" applyFont="1" applyFill="1" applyBorder="1" applyAlignment="1">
      <alignment horizontal="center" vertical="center"/>
    </xf>
    <xf numFmtId="2" fontId="99" fillId="34" borderId="10" xfId="0" applyNumberFormat="1" applyFont="1" applyFill="1" applyBorder="1" applyAlignment="1">
      <alignment horizontal="center" vertical="center"/>
    </xf>
    <xf numFmtId="0" fontId="99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/>
    </xf>
    <xf numFmtId="173" fontId="2" fillId="33" borderId="15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172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100" fillId="0" borderId="10" xfId="62" applyNumberFormat="1" applyFont="1" applyFill="1" applyBorder="1" applyAlignment="1">
      <alignment horizontal="center" vertical="center" wrapText="1"/>
      <protection/>
    </xf>
    <xf numFmtId="17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73" fontId="1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173" fontId="1" fillId="0" borderId="17" xfId="0" applyNumberFormat="1" applyFont="1" applyFill="1" applyBorder="1" applyAlignment="1">
      <alignment vertical="center" wrapText="1"/>
    </xf>
    <xf numFmtId="173" fontId="1" fillId="0" borderId="15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vertical="center"/>
    </xf>
    <xf numFmtId="173" fontId="2" fillId="0" borderId="15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horizontal="center" vertical="center"/>
    </xf>
    <xf numFmtId="172" fontId="99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61" applyFont="1" applyFill="1" applyBorder="1" applyAlignment="1">
      <alignment vertical="center"/>
      <protection/>
    </xf>
    <xf numFmtId="0" fontId="2" fillId="0" borderId="0" xfId="62" applyFont="1" applyFill="1">
      <alignment/>
      <protection/>
    </xf>
    <xf numFmtId="0" fontId="1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62" applyFont="1" applyFill="1" applyBorder="1">
      <alignment/>
      <protection/>
    </xf>
    <xf numFmtId="3" fontId="2" fillId="0" borderId="0" xfId="62" applyNumberFormat="1" applyFont="1" applyFill="1" applyBorder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9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wrapText="1"/>
    </xf>
    <xf numFmtId="0" fontId="100" fillId="35" borderId="10" xfId="62" applyFont="1" applyFill="1" applyBorder="1" applyAlignment="1">
      <alignment horizontal="center" vertical="center" wrapText="1"/>
      <protection/>
    </xf>
    <xf numFmtId="0" fontId="100" fillId="0" borderId="11" xfId="62" applyFont="1" applyBorder="1" applyAlignment="1">
      <alignment horizontal="center" vertical="center" wrapText="1"/>
      <protection/>
    </xf>
    <xf numFmtId="172" fontId="99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2" fontId="100" fillId="32" borderId="10" xfId="0" applyNumberFormat="1" applyFont="1" applyFill="1" applyBorder="1" applyAlignment="1">
      <alignment vertical="center" wrapText="1"/>
    </xf>
    <xf numFmtId="172" fontId="100" fillId="32" borderId="10" xfId="0" applyNumberFormat="1" applyFont="1" applyFill="1" applyBorder="1" applyAlignment="1">
      <alignment horizontal="center" vertical="center" wrapText="1"/>
    </xf>
    <xf numFmtId="0" fontId="100" fillId="32" borderId="10" xfId="0" applyFont="1" applyFill="1" applyBorder="1" applyAlignment="1">
      <alignment vertical="center" wrapText="1"/>
    </xf>
    <xf numFmtId="0" fontId="100" fillId="32" borderId="10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0" fontId="100" fillId="32" borderId="11" xfId="0" applyFont="1" applyFill="1" applyBorder="1" applyAlignment="1">
      <alignment horizontal="center" vertical="center" wrapText="1"/>
    </xf>
    <xf numFmtId="43" fontId="100" fillId="32" borderId="11" xfId="42" applyFont="1" applyFill="1" applyBorder="1" applyAlignment="1">
      <alignment horizontal="center" vertical="center" wrapText="1"/>
    </xf>
    <xf numFmtId="173" fontId="100" fillId="32" borderId="11" xfId="0" applyNumberFormat="1" applyFont="1" applyFill="1" applyBorder="1" applyAlignment="1">
      <alignment vertical="center" wrapText="1"/>
    </xf>
    <xf numFmtId="4" fontId="100" fillId="32" borderId="10" xfId="0" applyNumberFormat="1" applyFont="1" applyFill="1" applyBorder="1" applyAlignment="1">
      <alignment horizontal="center" vertical="center" wrapText="1"/>
    </xf>
    <xf numFmtId="3" fontId="100" fillId="32" borderId="10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3" fillId="32" borderId="0" xfId="0" applyFont="1" applyFill="1" applyAlignment="1">
      <alignment/>
    </xf>
    <xf numFmtId="0" fontId="100" fillId="0" borderId="11" xfId="0" applyFont="1" applyFill="1" applyBorder="1" applyAlignment="1">
      <alignment horizontal="center" vertical="center" wrapText="1"/>
    </xf>
    <xf numFmtId="43" fontId="100" fillId="0" borderId="11" xfId="42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173" fontId="100" fillId="0" borderId="11" xfId="0" applyNumberFormat="1" applyFont="1" applyFill="1" applyBorder="1" applyAlignment="1">
      <alignment vertical="center" wrapText="1"/>
    </xf>
    <xf numFmtId="173" fontId="100" fillId="0" borderId="10" xfId="0" applyNumberFormat="1" applyFont="1" applyFill="1" applyBorder="1" applyAlignment="1">
      <alignment horizontal="center" vertical="center" wrapText="1"/>
    </xf>
    <xf numFmtId="4" fontId="100" fillId="0" borderId="10" xfId="0" applyNumberFormat="1" applyFont="1" applyFill="1" applyBorder="1" applyAlignment="1">
      <alignment horizontal="center" vertical="center" wrapText="1"/>
    </xf>
    <xf numFmtId="3" fontId="100" fillId="0" borderId="10" xfId="0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2" fontId="104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173" fontId="21" fillId="0" borderId="11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174" fontId="21" fillId="0" borderId="10" xfId="42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72" fontId="10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175" fontId="21" fillId="0" borderId="11" xfId="42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173" fontId="21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wrapText="1"/>
    </xf>
    <xf numFmtId="3" fontId="101" fillId="0" borderId="10" xfId="0" applyNumberFormat="1" applyFont="1" applyFill="1" applyBorder="1" applyAlignment="1">
      <alignment horizontal="left" vertical="center" wrapText="1"/>
    </xf>
    <xf numFmtId="0" fontId="100" fillId="0" borderId="11" xfId="0" applyFont="1" applyFill="1" applyBorder="1" applyAlignment="1">
      <alignment horizontal="left" vertical="center" wrapText="1"/>
    </xf>
    <xf numFmtId="2" fontId="104" fillId="0" borderId="10" xfId="0" applyNumberFormat="1" applyFont="1" applyFill="1" applyBorder="1" applyAlignment="1">
      <alignment vertical="center" wrapText="1"/>
    </xf>
    <xf numFmtId="0" fontId="104" fillId="0" borderId="10" xfId="0" applyFont="1" applyFill="1" applyBorder="1" applyAlignment="1">
      <alignment vertical="center" wrapText="1"/>
    </xf>
    <xf numFmtId="1" fontId="104" fillId="0" borderId="10" xfId="0" applyNumberFormat="1" applyFont="1" applyFill="1" applyBorder="1" applyAlignment="1">
      <alignment vertical="center"/>
    </xf>
    <xf numFmtId="1" fontId="104" fillId="0" borderId="10" xfId="0" applyNumberFormat="1" applyFont="1" applyFill="1" applyBorder="1" applyAlignment="1">
      <alignment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105" fillId="0" borderId="11" xfId="0" applyFont="1" applyFill="1" applyBorder="1" applyAlignment="1">
      <alignment horizontal="left" vertical="center" wrapText="1"/>
    </xf>
    <xf numFmtId="2" fontId="104" fillId="0" borderId="11" xfId="0" applyNumberFormat="1" applyFont="1" applyFill="1" applyBorder="1" applyAlignment="1">
      <alignment vertical="center" wrapText="1"/>
    </xf>
    <xf numFmtId="0" fontId="106" fillId="0" borderId="0" xfId="0" applyFont="1" applyFill="1" applyAlignment="1">
      <alignment horizontal="left" vertical="center"/>
    </xf>
    <xf numFmtId="2" fontId="104" fillId="0" borderId="10" xfId="0" applyNumberFormat="1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172" fontId="104" fillId="0" borderId="10" xfId="0" applyNumberFormat="1" applyFont="1" applyFill="1" applyBorder="1" applyAlignment="1">
      <alignment horizontal="center" vertical="center"/>
    </xf>
    <xf numFmtId="0" fontId="107" fillId="0" borderId="0" xfId="0" applyFont="1" applyFill="1" applyAlignment="1">
      <alignment/>
    </xf>
    <xf numFmtId="173" fontId="104" fillId="0" borderId="10" xfId="0" applyNumberFormat="1" applyFont="1" applyFill="1" applyBorder="1" applyAlignment="1">
      <alignment horizontal="center" vertical="center" wrapText="1"/>
    </xf>
    <xf numFmtId="3" fontId="104" fillId="0" borderId="10" xfId="0" applyNumberFormat="1" applyFont="1" applyFill="1" applyBorder="1" applyAlignment="1">
      <alignment horizontal="center" vertical="center" wrapText="1"/>
    </xf>
    <xf numFmtId="1" fontId="104" fillId="0" borderId="10" xfId="0" applyNumberFormat="1" applyFont="1" applyFill="1" applyBorder="1" applyAlignment="1">
      <alignment horizontal="center" vertical="center"/>
    </xf>
    <xf numFmtId="173" fontId="104" fillId="0" borderId="11" xfId="0" applyNumberFormat="1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/>
    </xf>
    <xf numFmtId="0" fontId="104" fillId="0" borderId="10" xfId="0" applyFont="1" applyFill="1" applyBorder="1" applyAlignment="1">
      <alignment horizontal="center" vertical="center" wrapText="1"/>
    </xf>
    <xf numFmtId="173" fontId="104" fillId="0" borderId="11" xfId="0" applyNumberFormat="1" applyFont="1" applyFill="1" applyBorder="1" applyAlignment="1">
      <alignment horizontal="center" vertical="center" wrapText="1"/>
    </xf>
    <xf numFmtId="3" fontId="104" fillId="0" borderId="11" xfId="0" applyNumberFormat="1" applyFont="1" applyFill="1" applyBorder="1" applyAlignment="1">
      <alignment horizontal="center" vertical="center" wrapText="1"/>
    </xf>
    <xf numFmtId="172" fontId="104" fillId="0" borderId="11" xfId="0" applyNumberFormat="1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/>
    </xf>
    <xf numFmtId="173" fontId="104" fillId="0" borderId="11" xfId="0" applyNumberFormat="1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04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/>
    </xf>
    <xf numFmtId="172" fontId="21" fillId="34" borderId="10" xfId="0" applyNumberFormat="1" applyFont="1" applyFill="1" applyBorder="1" applyAlignment="1">
      <alignment horizontal="center" vertical="center"/>
    </xf>
    <xf numFmtId="0" fontId="23" fillId="34" borderId="0" xfId="0" applyFont="1" applyFill="1" applyAlignment="1">
      <alignment/>
    </xf>
    <xf numFmtId="173" fontId="21" fillId="34" borderId="10" xfId="0" applyNumberFormat="1" applyFont="1" applyFill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174" fontId="21" fillId="34" borderId="10" xfId="42" applyNumberFormat="1" applyFont="1" applyFill="1" applyBorder="1" applyAlignment="1">
      <alignment horizontal="center" vertical="center" wrapText="1"/>
    </xf>
    <xf numFmtId="3" fontId="21" fillId="34" borderId="12" xfId="0" applyNumberFormat="1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2" fontId="104" fillId="34" borderId="10" xfId="0" applyNumberFormat="1" applyFont="1" applyFill="1" applyBorder="1" applyAlignment="1">
      <alignment vertical="center" wrapText="1"/>
    </xf>
    <xf numFmtId="1" fontId="21" fillId="34" borderId="10" xfId="0" applyNumberFormat="1" applyFont="1" applyFill="1" applyBorder="1" applyAlignment="1">
      <alignment horizontal="center" vertical="center"/>
    </xf>
    <xf numFmtId="2" fontId="104" fillId="34" borderId="10" xfId="0" applyNumberFormat="1" applyFont="1" applyFill="1" applyBorder="1" applyAlignment="1">
      <alignment horizontal="center" vertical="center" wrapText="1"/>
    </xf>
    <xf numFmtId="172" fontId="104" fillId="34" borderId="10" xfId="0" applyNumberFormat="1" applyFont="1" applyFill="1" applyBorder="1" applyAlignment="1">
      <alignment horizontal="center" vertical="center"/>
    </xf>
    <xf numFmtId="173" fontId="104" fillId="34" borderId="10" xfId="0" applyNumberFormat="1" applyFont="1" applyFill="1" applyBorder="1" applyAlignment="1">
      <alignment horizontal="center" vertical="center" wrapText="1"/>
    </xf>
    <xf numFmtId="3" fontId="104" fillId="34" borderId="10" xfId="0" applyNumberFormat="1" applyFont="1" applyFill="1" applyBorder="1" applyAlignment="1">
      <alignment horizontal="center" vertical="center" wrapText="1"/>
    </xf>
    <xf numFmtId="173" fontId="104" fillId="0" borderId="11" xfId="0" applyNumberFormat="1" applyFont="1" applyFill="1" applyBorder="1" applyAlignment="1">
      <alignment horizontal="center" vertical="center"/>
    </xf>
    <xf numFmtId="173" fontId="21" fillId="34" borderId="11" xfId="0" applyNumberFormat="1" applyFont="1" applyFill="1" applyBorder="1" applyAlignment="1">
      <alignment horizontal="center" vertical="center"/>
    </xf>
    <xf numFmtId="173" fontId="104" fillId="34" borderId="11" xfId="0" applyNumberFormat="1" applyFont="1" applyFill="1" applyBorder="1" applyAlignment="1">
      <alignment horizontal="center" vertical="center"/>
    </xf>
    <xf numFmtId="173" fontId="104" fillId="34" borderId="15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172" fontId="104" fillId="34" borderId="10" xfId="0" applyNumberFormat="1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center"/>
    </xf>
    <xf numFmtId="173" fontId="104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" fontId="104" fillId="34" borderId="10" xfId="0" applyNumberFormat="1" applyFont="1" applyFill="1" applyBorder="1" applyAlignment="1">
      <alignment vertical="center"/>
    </xf>
    <xf numFmtId="1" fontId="104" fillId="34" borderId="10" xfId="0" applyNumberFormat="1" applyFont="1" applyFill="1" applyBorder="1" applyAlignment="1">
      <alignment horizontal="center" vertical="center"/>
    </xf>
    <xf numFmtId="0" fontId="104" fillId="34" borderId="10" xfId="0" applyFont="1" applyFill="1" applyBorder="1" applyAlignment="1">
      <alignment/>
    </xf>
    <xf numFmtId="0" fontId="10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04" fillId="32" borderId="10" xfId="0" applyFont="1" applyFill="1" applyBorder="1" applyAlignment="1">
      <alignment vertical="center" wrapText="1"/>
    </xf>
    <xf numFmtId="1" fontId="21" fillId="32" borderId="10" xfId="0" applyNumberFormat="1" applyFont="1" applyFill="1" applyBorder="1" applyAlignment="1">
      <alignment horizontal="center" vertical="center"/>
    </xf>
    <xf numFmtId="2" fontId="104" fillId="32" borderId="10" xfId="0" applyNumberFormat="1" applyFont="1" applyFill="1" applyBorder="1" applyAlignment="1">
      <alignment horizontal="center" vertical="center" wrapText="1"/>
    </xf>
    <xf numFmtId="172" fontId="104" fillId="32" borderId="10" xfId="0" applyNumberFormat="1" applyFont="1" applyFill="1" applyBorder="1" applyAlignment="1">
      <alignment horizontal="center" vertical="center"/>
    </xf>
    <xf numFmtId="173" fontId="104" fillId="32" borderId="10" xfId="0" applyNumberFormat="1" applyFont="1" applyFill="1" applyBorder="1" applyAlignment="1">
      <alignment horizontal="center" vertical="center" wrapText="1"/>
    </xf>
    <xf numFmtId="173" fontId="104" fillId="32" borderId="11" xfId="0" applyNumberFormat="1" applyFont="1" applyFill="1" applyBorder="1" applyAlignment="1">
      <alignment horizontal="center" vertical="center"/>
    </xf>
    <xf numFmtId="3" fontId="104" fillId="32" borderId="10" xfId="0" applyNumberFormat="1" applyFont="1" applyFill="1" applyBorder="1" applyAlignment="1">
      <alignment horizontal="center" vertical="center" wrapText="1"/>
    </xf>
    <xf numFmtId="3" fontId="21" fillId="32" borderId="10" xfId="0" applyNumberFormat="1" applyFont="1" applyFill="1" applyBorder="1" applyAlignment="1">
      <alignment horizontal="center" vertical="center" wrapText="1"/>
    </xf>
    <xf numFmtId="174" fontId="21" fillId="32" borderId="10" xfId="42" applyNumberFormat="1" applyFont="1" applyFill="1" applyBorder="1" applyAlignment="1">
      <alignment horizontal="center" vertical="center" wrapText="1"/>
    </xf>
    <xf numFmtId="3" fontId="21" fillId="32" borderId="12" xfId="0" applyNumberFormat="1" applyFont="1" applyFill="1" applyBorder="1" applyAlignment="1">
      <alignment horizontal="center" vertical="center" wrapText="1"/>
    </xf>
    <xf numFmtId="3" fontId="18" fillId="32" borderId="11" xfId="0" applyNumberFormat="1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104" fillId="32" borderId="10" xfId="0" applyFont="1" applyFill="1" applyBorder="1" applyAlignment="1">
      <alignment/>
    </xf>
    <xf numFmtId="0" fontId="104" fillId="32" borderId="10" xfId="0" applyFont="1" applyFill="1" applyBorder="1" applyAlignment="1">
      <alignment horizontal="center" vertical="center" wrapText="1"/>
    </xf>
    <xf numFmtId="172" fontId="21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1" fontId="104" fillId="34" borderId="10" xfId="0" applyNumberFormat="1" applyFont="1" applyFill="1" applyBorder="1" applyAlignment="1">
      <alignment vertical="center" wrapText="1"/>
    </xf>
    <xf numFmtId="1" fontId="104" fillId="32" borderId="10" xfId="0" applyNumberFormat="1" applyFont="1" applyFill="1" applyBorder="1" applyAlignment="1">
      <alignment vertical="center"/>
    </xf>
    <xf numFmtId="172" fontId="21" fillId="32" borderId="10" xfId="0" applyNumberFormat="1" applyFont="1" applyFill="1" applyBorder="1" applyAlignment="1">
      <alignment horizontal="center" vertical="center"/>
    </xf>
    <xf numFmtId="1" fontId="104" fillId="32" borderId="10" xfId="0" applyNumberFormat="1" applyFont="1" applyFill="1" applyBorder="1" applyAlignment="1">
      <alignment horizontal="center" vertical="center"/>
    </xf>
    <xf numFmtId="0" fontId="104" fillId="32" borderId="10" xfId="0" applyFont="1" applyFill="1" applyBorder="1" applyAlignment="1">
      <alignment horizontal="left" vertical="center" wrapText="1"/>
    </xf>
    <xf numFmtId="4" fontId="104" fillId="32" borderId="10" xfId="0" applyNumberFormat="1" applyFont="1" applyFill="1" applyBorder="1" applyAlignment="1">
      <alignment horizontal="center" vertical="center" wrapText="1"/>
    </xf>
    <xf numFmtId="0" fontId="104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0" fontId="104" fillId="0" borderId="11" xfId="0" applyFont="1" applyFill="1" applyBorder="1" applyAlignment="1">
      <alignment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/>
    </xf>
    <xf numFmtId="174" fontId="21" fillId="0" borderId="11" xfId="42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3" fontId="18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99" fillId="34" borderId="10" xfId="0" applyFont="1" applyFill="1" applyBorder="1" applyAlignment="1">
      <alignment horizontal="left" vertical="center"/>
    </xf>
    <xf numFmtId="0" fontId="104" fillId="34" borderId="11" xfId="0" applyFont="1" applyFill="1" applyBorder="1" applyAlignment="1">
      <alignment horizontal="center" vertical="center" wrapText="1"/>
    </xf>
    <xf numFmtId="172" fontId="25" fillId="34" borderId="10" xfId="0" applyNumberFormat="1" applyFont="1" applyFill="1" applyBorder="1" applyAlignment="1">
      <alignment horizontal="center" vertical="center"/>
    </xf>
    <xf numFmtId="172" fontId="108" fillId="34" borderId="10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3" fontId="104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left" vertical="center"/>
    </xf>
    <xf numFmtId="2" fontId="10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2" fontId="104" fillId="34" borderId="10" xfId="0" applyNumberFormat="1" applyFont="1" applyFill="1" applyBorder="1" applyAlignment="1">
      <alignment horizontal="center" vertical="center"/>
    </xf>
    <xf numFmtId="173" fontId="104" fillId="34" borderId="11" xfId="0" applyNumberFormat="1" applyFont="1" applyFill="1" applyBorder="1" applyAlignment="1">
      <alignment horizontal="center" vertical="center" wrapText="1"/>
    </xf>
    <xf numFmtId="173" fontId="104" fillId="34" borderId="15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9" fontId="104" fillId="0" borderId="10" xfId="44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04" fillId="0" borderId="0" xfId="0" applyFont="1" applyFill="1" applyBorder="1" applyAlignment="1">
      <alignment/>
    </xf>
    <xf numFmtId="3" fontId="101" fillId="0" borderId="10" xfId="0" applyNumberFormat="1" applyFont="1" applyFill="1" applyBorder="1" applyAlignment="1">
      <alignment horizontal="center" vertical="center" wrapText="1"/>
    </xf>
    <xf numFmtId="3" fontId="101" fillId="0" borderId="12" xfId="0" applyNumberFormat="1" applyFont="1" applyFill="1" applyBorder="1" applyAlignment="1">
      <alignment horizontal="center" vertical="center" wrapText="1"/>
    </xf>
    <xf numFmtId="173" fontId="99" fillId="0" borderId="10" xfId="0" applyNumberFormat="1" applyFont="1" applyFill="1" applyBorder="1" applyAlignment="1">
      <alignment horizontal="center" vertical="center" wrapText="1"/>
    </xf>
    <xf numFmtId="3" fontId="99" fillId="0" borderId="10" xfId="0" applyNumberFormat="1" applyFont="1" applyFill="1" applyBorder="1" applyAlignment="1">
      <alignment horizontal="center" vertical="center" wrapText="1"/>
    </xf>
    <xf numFmtId="173" fontId="109" fillId="0" borderId="0" xfId="0" applyNumberFormat="1" applyFont="1" applyFill="1" applyBorder="1" applyAlignment="1">
      <alignment/>
    </xf>
    <xf numFmtId="175" fontId="104" fillId="0" borderId="11" xfId="42" applyNumberFormat="1" applyFont="1" applyFill="1" applyBorder="1" applyAlignment="1">
      <alignment horizontal="center" vertical="center" wrapText="1"/>
    </xf>
    <xf numFmtId="0" fontId="104" fillId="0" borderId="14" xfId="0" applyFont="1" applyFill="1" applyBorder="1" applyAlignment="1">
      <alignment/>
    </xf>
    <xf numFmtId="0" fontId="103" fillId="0" borderId="0" xfId="0" applyFont="1" applyFill="1" applyAlignment="1">
      <alignment horizontal="center"/>
    </xf>
    <xf numFmtId="0" fontId="103" fillId="0" borderId="0" xfId="0" applyFont="1" applyFill="1" applyAlignment="1">
      <alignment horizontal="center" vertical="center"/>
    </xf>
    <xf numFmtId="0" fontId="110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left" vertical="center" wrapText="1"/>
    </xf>
    <xf numFmtId="173" fontId="104" fillId="0" borderId="10" xfId="59" applyNumberFormat="1" applyFont="1" applyBorder="1" applyAlignment="1">
      <alignment horizontal="center" vertical="center" wrapText="1"/>
      <protection/>
    </xf>
    <xf numFmtId="0" fontId="21" fillId="32" borderId="10" xfId="0" applyFont="1" applyFill="1" applyBorder="1" applyAlignment="1">
      <alignment vertical="center" wrapText="1"/>
    </xf>
    <xf numFmtId="172" fontId="28" fillId="32" borderId="1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3" fontId="104" fillId="0" borderId="10" xfId="59" applyNumberFormat="1" applyFont="1" applyBorder="1" applyAlignment="1">
      <alignment horizontal="center" vertical="center" wrapText="1"/>
      <protection/>
    </xf>
    <xf numFmtId="3" fontId="107" fillId="0" borderId="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111" fillId="32" borderId="10" xfId="0" applyFont="1" applyFill="1" applyBorder="1" applyAlignment="1">
      <alignment horizontal="center" vertical="center" wrapText="1"/>
    </xf>
    <xf numFmtId="0" fontId="112" fillId="32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left" vertical="center" wrapText="1"/>
    </xf>
    <xf numFmtId="175" fontId="104" fillId="0" borderId="10" xfId="42" applyNumberFormat="1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/>
    </xf>
    <xf numFmtId="172" fontId="21" fillId="32" borderId="10" xfId="0" applyNumberFormat="1" applyFont="1" applyFill="1" applyBorder="1" applyAlignment="1">
      <alignment horizontal="center" vertical="center" wrapText="1"/>
    </xf>
    <xf numFmtId="172" fontId="112" fillId="32" borderId="10" xfId="0" applyNumberFormat="1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vertical="center" wrapText="1"/>
    </xf>
    <xf numFmtId="3" fontId="104" fillId="0" borderId="15" xfId="0" applyNumberFormat="1" applyFont="1" applyFill="1" applyBorder="1" applyAlignment="1">
      <alignment horizontal="center" vertical="center" wrapText="1"/>
    </xf>
    <xf numFmtId="0" fontId="112" fillId="32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173" fontId="100" fillId="0" borderId="10" xfId="0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113" fillId="0" borderId="1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173" fontId="115" fillId="0" borderId="0" xfId="0" applyNumberFormat="1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116" fillId="0" borderId="0" xfId="0" applyFont="1" applyFill="1" applyAlignment="1">
      <alignment/>
    </xf>
    <xf numFmtId="3" fontId="105" fillId="0" borderId="11" xfId="0" applyNumberFormat="1" applyFont="1" applyFill="1" applyBorder="1" applyAlignment="1">
      <alignment horizontal="center" vertical="center" wrapText="1"/>
    </xf>
    <xf numFmtId="174" fontId="104" fillId="0" borderId="10" xfId="42" applyNumberFormat="1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vertical="center" wrapText="1"/>
    </xf>
    <xf numFmtId="0" fontId="108" fillId="32" borderId="10" xfId="0" applyFont="1" applyFill="1" applyBorder="1" applyAlignment="1">
      <alignment horizontal="center" vertical="center" wrapText="1"/>
    </xf>
    <xf numFmtId="0" fontId="108" fillId="32" borderId="10" xfId="0" applyFont="1" applyFill="1" applyBorder="1" applyAlignment="1">
      <alignment/>
    </xf>
    <xf numFmtId="0" fontId="104" fillId="32" borderId="10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3" fontId="104" fillId="0" borderId="11" xfId="0" applyNumberFormat="1" applyFont="1" applyFill="1" applyBorder="1" applyAlignment="1">
      <alignment horizontal="center" vertical="center" wrapText="1"/>
    </xf>
    <xf numFmtId="3" fontId="104" fillId="0" borderId="15" xfId="0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173" fontId="100" fillId="0" borderId="10" xfId="0" applyNumberFormat="1" applyFont="1" applyFill="1" applyBorder="1" applyAlignment="1">
      <alignment horizontal="center" vertical="center" wrapText="1"/>
    </xf>
    <xf numFmtId="0" fontId="104" fillId="32" borderId="11" xfId="0" applyFont="1" applyFill="1" applyBorder="1" applyAlignment="1">
      <alignment horizontal="center" vertical="center" wrapText="1"/>
    </xf>
    <xf numFmtId="0" fontId="104" fillId="32" borderId="15" xfId="0" applyFont="1" applyFill="1" applyBorder="1" applyAlignment="1">
      <alignment horizontal="center" vertical="center" wrapText="1"/>
    </xf>
    <xf numFmtId="173" fontId="104" fillId="0" borderId="11" xfId="0" applyNumberFormat="1" applyFont="1" applyFill="1" applyBorder="1" applyAlignment="1">
      <alignment horizontal="center" vertical="center" wrapText="1"/>
    </xf>
    <xf numFmtId="0" fontId="30" fillId="32" borderId="0" xfId="62" applyFont="1" applyFill="1" applyAlignment="1">
      <alignment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/>
      <protection/>
    </xf>
    <xf numFmtId="175" fontId="1" fillId="0" borderId="10" xfId="59" applyNumberFormat="1" applyFont="1" applyBorder="1" applyAlignment="1">
      <alignment horizontal="center" vertical="center" wrapText="1"/>
      <protection/>
    </xf>
    <xf numFmtId="174" fontId="1" fillId="0" borderId="10" xfId="44" applyNumberFormat="1" applyFont="1" applyBorder="1" applyAlignment="1">
      <alignment horizontal="center" vertical="center" wrapText="1"/>
    </xf>
    <xf numFmtId="173" fontId="1" fillId="0" borderId="10" xfId="59" applyNumberFormat="1" applyFont="1" applyBorder="1" applyAlignment="1">
      <alignment horizontal="center" vertical="center" wrapText="1"/>
      <protection/>
    </xf>
    <xf numFmtId="1" fontId="3" fillId="0" borderId="10" xfId="59" applyNumberFormat="1" applyFont="1" applyBorder="1" applyAlignment="1">
      <alignment horizontal="center" vertical="center" wrapText="1"/>
      <protection/>
    </xf>
    <xf numFmtId="9" fontId="2" fillId="0" borderId="10" xfId="59" applyNumberFormat="1" applyFont="1" applyBorder="1" applyAlignment="1">
      <alignment horizontal="center" vertical="center" wrapText="1"/>
      <protection/>
    </xf>
    <xf numFmtId="3" fontId="1" fillId="0" borderId="10" xfId="59" applyNumberFormat="1" applyFont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0" fontId="1" fillId="0" borderId="10" xfId="59" applyFont="1" applyBorder="1" applyAlignment="1">
      <alignment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3" fontId="2" fillId="0" borderId="10" xfId="59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173" fontId="1" fillId="0" borderId="10" xfId="63" applyNumberFormat="1" applyFont="1" applyBorder="1" applyAlignment="1">
      <alignment horizontal="center" vertical="center" wrapText="1"/>
      <protection/>
    </xf>
    <xf numFmtId="3" fontId="1" fillId="0" borderId="10" xfId="63" applyNumberFormat="1" applyFont="1" applyBorder="1" applyAlignment="1">
      <alignment horizontal="right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173" fontId="2" fillId="0" borderId="10" xfId="63" applyNumberFormat="1" applyFont="1" applyBorder="1" applyAlignment="1">
      <alignment horizontal="center" vertical="center" wrapText="1"/>
      <protection/>
    </xf>
    <xf numFmtId="3" fontId="2" fillId="0" borderId="10" xfId="63" applyNumberFormat="1" applyFont="1" applyBorder="1" applyAlignment="1">
      <alignment horizontal="right" vertical="center" wrapText="1"/>
      <protection/>
    </xf>
    <xf numFmtId="1" fontId="99" fillId="32" borderId="10" xfId="0" applyNumberFormat="1" applyFont="1" applyFill="1" applyBorder="1" applyAlignment="1">
      <alignment horizontal="left" vertical="center" wrapText="1"/>
    </xf>
    <xf numFmtId="3" fontId="2" fillId="0" borderId="10" xfId="63" applyNumberFormat="1" applyFont="1" applyBorder="1" applyAlignment="1">
      <alignment horizontal="center" vertical="center" wrapText="1"/>
      <protection/>
    </xf>
    <xf numFmtId="0" fontId="104" fillId="33" borderId="10" xfId="0" applyFont="1" applyFill="1" applyBorder="1" applyAlignment="1">
      <alignment horizontal="center" vertical="center"/>
    </xf>
    <xf numFmtId="0" fontId="104" fillId="33" borderId="10" xfId="0" applyFont="1" applyFill="1" applyBorder="1" applyAlignment="1">
      <alignment horizontal="left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/>
    </xf>
    <xf numFmtId="0" fontId="104" fillId="33" borderId="11" xfId="0" applyFont="1" applyFill="1" applyBorder="1" applyAlignment="1">
      <alignment horizontal="center" vertical="center" wrapText="1"/>
    </xf>
    <xf numFmtId="3" fontId="104" fillId="33" borderId="10" xfId="0" applyNumberFormat="1" applyFont="1" applyFill="1" applyBorder="1" applyAlignment="1">
      <alignment horizontal="center" vertical="center" wrapText="1"/>
    </xf>
    <xf numFmtId="173" fontId="104" fillId="33" borderId="11" xfId="0" applyNumberFormat="1" applyFont="1" applyFill="1" applyBorder="1" applyAlignment="1">
      <alignment horizontal="center" vertical="center" wrapText="1"/>
    </xf>
    <xf numFmtId="173" fontId="104" fillId="33" borderId="10" xfId="0" applyNumberFormat="1" applyFont="1" applyFill="1" applyBorder="1" applyAlignment="1">
      <alignment horizontal="center" vertical="center" wrapText="1"/>
    </xf>
    <xf numFmtId="9" fontId="104" fillId="33" borderId="10" xfId="44" applyNumberFormat="1" applyFont="1" applyFill="1" applyBorder="1" applyAlignment="1">
      <alignment horizontal="center" vertical="center" wrapText="1"/>
    </xf>
    <xf numFmtId="174" fontId="104" fillId="33" borderId="10" xfId="42" applyNumberFormat="1" applyFont="1" applyFill="1" applyBorder="1" applyAlignment="1">
      <alignment horizontal="center" vertical="center" wrapText="1"/>
    </xf>
    <xf numFmtId="0" fontId="107" fillId="33" borderId="0" xfId="0" applyFont="1" applyFill="1" applyBorder="1" applyAlignment="1">
      <alignment/>
    </xf>
    <xf numFmtId="0" fontId="107" fillId="33" borderId="0" xfId="0" applyFont="1" applyFill="1" applyAlignment="1">
      <alignment/>
    </xf>
    <xf numFmtId="0" fontId="104" fillId="33" borderId="17" xfId="0" applyFont="1" applyFill="1" applyBorder="1" applyAlignment="1">
      <alignment vertical="center" wrapText="1"/>
    </xf>
    <xf numFmtId="173" fontId="104" fillId="33" borderId="10" xfId="59" applyNumberFormat="1" applyFont="1" applyFill="1" applyBorder="1" applyAlignment="1">
      <alignment horizontal="center" vertical="center" wrapText="1"/>
      <protection/>
    </xf>
    <xf numFmtId="3" fontId="104" fillId="33" borderId="10" xfId="59" applyNumberFormat="1" applyFont="1" applyFill="1" applyBorder="1" applyAlignment="1">
      <alignment horizontal="center" vertical="center" wrapText="1"/>
      <protection/>
    </xf>
    <xf numFmtId="0" fontId="107" fillId="33" borderId="0" xfId="0" applyFont="1" applyFill="1" applyBorder="1" applyAlignment="1">
      <alignment horizontal="right" vertical="center"/>
    </xf>
    <xf numFmtId="172" fontId="104" fillId="33" borderId="10" xfId="0" applyNumberFormat="1" applyFont="1" applyFill="1" applyBorder="1" applyAlignment="1">
      <alignment horizontal="center" vertical="center" wrapText="1"/>
    </xf>
    <xf numFmtId="0" fontId="104" fillId="33" borderId="15" xfId="0" applyFont="1" applyFill="1" applyBorder="1" applyAlignment="1">
      <alignment vertical="center" wrapText="1"/>
    </xf>
    <xf numFmtId="172" fontId="104" fillId="33" borderId="10" xfId="0" applyNumberFormat="1" applyFont="1" applyFill="1" applyBorder="1" applyAlignment="1">
      <alignment horizontal="center" vertical="center"/>
    </xf>
    <xf numFmtId="4" fontId="104" fillId="33" borderId="10" xfId="0" applyNumberFormat="1" applyFont="1" applyFill="1" applyBorder="1" applyAlignment="1">
      <alignment horizontal="center" vertical="center" wrapText="1"/>
    </xf>
    <xf numFmtId="0" fontId="104" fillId="36" borderId="10" xfId="0" applyFont="1" applyFill="1" applyBorder="1" applyAlignment="1">
      <alignment horizontal="center" vertical="center"/>
    </xf>
    <xf numFmtId="0" fontId="104" fillId="36" borderId="10" xfId="0" applyFont="1" applyFill="1" applyBorder="1" applyAlignment="1">
      <alignment horizontal="left" vertical="center" wrapText="1"/>
    </xf>
    <xf numFmtId="0" fontId="108" fillId="36" borderId="10" xfId="0" applyFont="1" applyFill="1" applyBorder="1" applyAlignment="1">
      <alignment horizontal="center" vertical="center" wrapText="1"/>
    </xf>
    <xf numFmtId="0" fontId="104" fillId="36" borderId="10" xfId="0" applyFont="1" applyFill="1" applyBorder="1" applyAlignment="1">
      <alignment horizontal="center" vertical="center" wrapText="1"/>
    </xf>
    <xf numFmtId="172" fontId="104" fillId="36" borderId="10" xfId="0" applyNumberFormat="1" applyFont="1" applyFill="1" applyBorder="1" applyAlignment="1">
      <alignment horizontal="center" vertical="center"/>
    </xf>
    <xf numFmtId="3" fontId="104" fillId="36" borderId="10" xfId="0" applyNumberFormat="1" applyFont="1" applyFill="1" applyBorder="1" applyAlignment="1">
      <alignment horizontal="center" vertical="center" wrapText="1"/>
    </xf>
    <xf numFmtId="4" fontId="104" fillId="36" borderId="10" xfId="0" applyNumberFormat="1" applyFont="1" applyFill="1" applyBorder="1" applyAlignment="1">
      <alignment horizontal="center" vertical="center" wrapText="1"/>
    </xf>
    <xf numFmtId="173" fontId="104" fillId="36" borderId="10" xfId="0" applyNumberFormat="1" applyFont="1" applyFill="1" applyBorder="1" applyAlignment="1">
      <alignment horizontal="center" vertical="center" wrapText="1"/>
    </xf>
    <xf numFmtId="9" fontId="104" fillId="36" borderId="10" xfId="44" applyNumberFormat="1" applyFont="1" applyFill="1" applyBorder="1" applyAlignment="1">
      <alignment horizontal="center" vertical="center" wrapText="1"/>
    </xf>
    <xf numFmtId="174" fontId="104" fillId="36" borderId="10" xfId="42" applyNumberFormat="1" applyFont="1" applyFill="1" applyBorder="1" applyAlignment="1">
      <alignment horizontal="center" vertical="center" wrapText="1"/>
    </xf>
    <xf numFmtId="0" fontId="107" fillId="36" borderId="0" xfId="0" applyFont="1" applyFill="1" applyBorder="1" applyAlignment="1">
      <alignment/>
    </xf>
    <xf numFmtId="0" fontId="107" fillId="36" borderId="0" xfId="0" applyFont="1" applyFill="1" applyAlignment="1">
      <alignment/>
    </xf>
    <xf numFmtId="173" fontId="104" fillId="36" borderId="10" xfId="59" applyNumberFormat="1" applyFont="1" applyFill="1" applyBorder="1" applyAlignment="1">
      <alignment horizontal="center" vertical="center" wrapText="1"/>
      <protection/>
    </xf>
    <xf numFmtId="0" fontId="104" fillId="36" borderId="10" xfId="0" applyFont="1" applyFill="1" applyBorder="1" applyAlignment="1">
      <alignment/>
    </xf>
    <xf numFmtId="173" fontId="104" fillId="36" borderId="11" xfId="0" applyNumberFormat="1" applyFont="1" applyFill="1" applyBorder="1" applyAlignment="1">
      <alignment horizontal="center" vertical="center" wrapText="1"/>
    </xf>
    <xf numFmtId="3" fontId="104" fillId="36" borderId="11" xfId="0" applyNumberFormat="1" applyFont="1" applyFill="1" applyBorder="1" applyAlignment="1">
      <alignment horizontal="center" vertical="center" wrapText="1"/>
    </xf>
    <xf numFmtId="3" fontId="104" fillId="36" borderId="17" xfId="0" applyNumberFormat="1" applyFont="1" applyFill="1" applyBorder="1" applyAlignment="1">
      <alignment horizontal="center" vertical="center" wrapText="1"/>
    </xf>
    <xf numFmtId="3" fontId="104" fillId="36" borderId="15" xfId="0" applyNumberFormat="1" applyFont="1" applyFill="1" applyBorder="1" applyAlignment="1">
      <alignment horizontal="center" vertical="center" wrapText="1"/>
    </xf>
    <xf numFmtId="0" fontId="104" fillId="33" borderId="17" xfId="0" applyFont="1" applyFill="1" applyBorder="1" applyAlignment="1">
      <alignment horizontal="center" vertical="center" wrapText="1"/>
    </xf>
    <xf numFmtId="0" fontId="104" fillId="33" borderId="15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43" fontId="105" fillId="0" borderId="11" xfId="42" applyFont="1" applyFill="1" applyBorder="1" applyAlignment="1">
      <alignment horizontal="center" vertical="center" wrapText="1"/>
    </xf>
    <xf numFmtId="173" fontId="105" fillId="0" borderId="11" xfId="0" applyNumberFormat="1" applyFont="1" applyFill="1" applyBorder="1" applyAlignment="1">
      <alignment vertical="center" wrapText="1"/>
    </xf>
    <xf numFmtId="173" fontId="105" fillId="0" borderId="10" xfId="0" applyNumberFormat="1" applyFont="1" applyFill="1" applyBorder="1" applyAlignment="1">
      <alignment horizontal="center" vertical="center" wrapText="1"/>
    </xf>
    <xf numFmtId="4" fontId="105" fillId="0" borderId="10" xfId="0" applyNumberFormat="1" applyFont="1" applyFill="1" applyBorder="1" applyAlignment="1">
      <alignment horizontal="center" vertical="center" wrapText="1"/>
    </xf>
    <xf numFmtId="3" fontId="105" fillId="0" borderId="10" xfId="0" applyNumberFormat="1" applyFont="1" applyFill="1" applyBorder="1" applyAlignment="1">
      <alignment horizontal="center" vertical="center" wrapText="1"/>
    </xf>
    <xf numFmtId="3" fontId="117" fillId="0" borderId="10" xfId="0" applyNumberFormat="1" applyFont="1" applyFill="1" applyBorder="1" applyAlignment="1">
      <alignment horizontal="center" vertical="center" wrapText="1"/>
    </xf>
    <xf numFmtId="3" fontId="117" fillId="0" borderId="10" xfId="0" applyNumberFormat="1" applyFont="1" applyFill="1" applyBorder="1" applyAlignment="1">
      <alignment horizontal="left" vertical="center" wrapText="1"/>
    </xf>
    <xf numFmtId="3" fontId="117" fillId="0" borderId="12" xfId="0" applyNumberFormat="1" applyFont="1" applyFill="1" applyBorder="1" applyAlignment="1">
      <alignment horizontal="center" vertical="center" wrapText="1"/>
    </xf>
    <xf numFmtId="0" fontId="107" fillId="0" borderId="0" xfId="0" applyFont="1" applyFill="1" applyAlignment="1">
      <alignment horizontal="center"/>
    </xf>
    <xf numFmtId="0" fontId="107" fillId="0" borderId="0" xfId="0" applyFont="1" applyFill="1" applyAlignment="1">
      <alignment horizontal="left" vertical="center"/>
    </xf>
    <xf numFmtId="0" fontId="107" fillId="0" borderId="0" xfId="0" applyFont="1" applyFill="1" applyAlignment="1">
      <alignment horizontal="center" vertical="center"/>
    </xf>
    <xf numFmtId="0" fontId="105" fillId="0" borderId="10" xfId="0" applyFont="1" applyFill="1" applyBorder="1" applyAlignment="1">
      <alignment horizontal="center" vertical="center" wrapText="1"/>
    </xf>
    <xf numFmtId="3" fontId="118" fillId="0" borderId="10" xfId="0" applyNumberFormat="1" applyFont="1" applyFill="1" applyBorder="1" applyAlignment="1">
      <alignment horizontal="center" vertical="center" wrapText="1"/>
    </xf>
    <xf numFmtId="173" fontId="115" fillId="0" borderId="10" xfId="0" applyNumberFormat="1" applyFont="1" applyFill="1" applyBorder="1" applyAlignment="1">
      <alignment horizontal="center" vertical="center" wrapText="1"/>
    </xf>
    <xf numFmtId="3" fontId="115" fillId="0" borderId="11" xfId="0" applyNumberFormat="1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3" fontId="115" fillId="0" borderId="10" xfId="0" applyNumberFormat="1" applyFont="1" applyFill="1" applyBorder="1" applyAlignment="1">
      <alignment horizontal="center" vertical="center" wrapText="1"/>
    </xf>
    <xf numFmtId="0" fontId="119" fillId="0" borderId="0" xfId="0" applyFont="1" applyFill="1" applyAlignment="1">
      <alignment/>
    </xf>
    <xf numFmtId="0" fontId="115" fillId="0" borderId="11" xfId="0" applyFont="1" applyFill="1" applyBorder="1" applyAlignment="1">
      <alignment horizontal="left" vertical="center" wrapText="1"/>
    </xf>
    <xf numFmtId="175" fontId="109" fillId="0" borderId="11" xfId="42" applyNumberFormat="1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/>
    </xf>
    <xf numFmtId="0" fontId="109" fillId="0" borderId="14" xfId="0" applyFont="1" applyFill="1" applyBorder="1" applyAlignment="1">
      <alignment/>
    </xf>
    <xf numFmtId="0" fontId="109" fillId="0" borderId="10" xfId="0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vertical="center" wrapText="1"/>
    </xf>
    <xf numFmtId="172" fontId="109" fillId="0" borderId="10" xfId="0" applyNumberFormat="1" applyFont="1" applyFill="1" applyBorder="1" applyAlignment="1">
      <alignment horizontal="center" vertical="center"/>
    </xf>
    <xf numFmtId="173" fontId="109" fillId="0" borderId="10" xfId="0" applyNumberFormat="1" applyFont="1" applyFill="1" applyBorder="1" applyAlignment="1">
      <alignment horizontal="center" vertical="center" wrapText="1"/>
    </xf>
    <xf numFmtId="3" fontId="109" fillId="0" borderId="10" xfId="0" applyNumberFormat="1" applyFont="1" applyFill="1" applyBorder="1" applyAlignment="1">
      <alignment horizontal="center" vertical="center" wrapText="1"/>
    </xf>
    <xf numFmtId="9" fontId="109" fillId="0" borderId="10" xfId="44" applyNumberFormat="1" applyFont="1" applyFill="1" applyBorder="1" applyAlignment="1">
      <alignment horizontal="center" vertical="center" wrapText="1"/>
    </xf>
    <xf numFmtId="174" fontId="109" fillId="0" borderId="10" xfId="42" applyNumberFormat="1" applyFont="1" applyFill="1" applyBorder="1" applyAlignment="1">
      <alignment horizontal="center" vertical="center" wrapText="1"/>
    </xf>
    <xf numFmtId="2" fontId="109" fillId="0" borderId="10" xfId="0" applyNumberFormat="1" applyFont="1" applyFill="1" applyBorder="1" applyAlignment="1">
      <alignment vertical="center" wrapText="1"/>
    </xf>
    <xf numFmtId="0" fontId="120" fillId="0" borderId="0" xfId="0" applyFont="1" applyFill="1" applyBorder="1" applyAlignment="1">
      <alignment/>
    </xf>
    <xf numFmtId="0" fontId="120" fillId="0" borderId="0" xfId="0" applyFont="1" applyFill="1" applyAlignment="1">
      <alignment/>
    </xf>
    <xf numFmtId="0" fontId="109" fillId="0" borderId="10" xfId="0" applyFont="1" applyFill="1" applyBorder="1" applyAlignment="1">
      <alignment/>
    </xf>
    <xf numFmtId="173" fontId="109" fillId="0" borderId="10" xfId="59" applyNumberFormat="1" applyFont="1" applyFill="1" applyBorder="1" applyAlignment="1">
      <alignment horizontal="center" vertical="center" wrapText="1"/>
      <protection/>
    </xf>
    <xf numFmtId="0" fontId="120" fillId="0" borderId="10" xfId="0" applyFont="1" applyFill="1" applyBorder="1" applyAlignment="1">
      <alignment/>
    </xf>
    <xf numFmtId="0" fontId="109" fillId="0" borderId="10" xfId="0" applyFont="1" applyFill="1" applyBorder="1" applyAlignment="1">
      <alignment horizontal="left" vertical="center" wrapText="1"/>
    </xf>
    <xf numFmtId="0" fontId="115" fillId="0" borderId="10" xfId="0" applyFont="1" applyFill="1" applyBorder="1" applyAlignment="1">
      <alignment horizontal="left" vertical="center" wrapText="1"/>
    </xf>
    <xf numFmtId="175" fontId="109" fillId="0" borderId="10" xfId="42" applyNumberFormat="1" applyFont="1" applyFill="1" applyBorder="1" applyAlignment="1">
      <alignment horizontal="center" vertical="center" wrapText="1"/>
    </xf>
    <xf numFmtId="1" fontId="109" fillId="0" borderId="10" xfId="0" applyNumberFormat="1" applyFont="1" applyFill="1" applyBorder="1" applyAlignment="1">
      <alignment horizontal="center" vertical="center"/>
    </xf>
    <xf numFmtId="0" fontId="109" fillId="0" borderId="11" xfId="0" applyFont="1" applyFill="1" applyBorder="1" applyAlignment="1">
      <alignment horizontal="center" vertical="center" wrapText="1"/>
    </xf>
    <xf numFmtId="172" fontId="109" fillId="0" borderId="11" xfId="0" applyNumberFormat="1" applyFont="1" applyFill="1" applyBorder="1" applyAlignment="1">
      <alignment horizontal="center" vertical="center"/>
    </xf>
    <xf numFmtId="3" fontId="109" fillId="0" borderId="11" xfId="0" applyNumberFormat="1" applyFont="1" applyFill="1" applyBorder="1" applyAlignment="1">
      <alignment horizontal="center" vertical="center" wrapText="1"/>
    </xf>
    <xf numFmtId="173" fontId="109" fillId="0" borderId="11" xfId="0" applyNumberFormat="1" applyFont="1" applyFill="1" applyBorder="1" applyAlignment="1">
      <alignment horizontal="center" vertical="center" wrapText="1"/>
    </xf>
    <xf numFmtId="0" fontId="109" fillId="0" borderId="15" xfId="0" applyFont="1" applyFill="1" applyBorder="1" applyAlignment="1">
      <alignment horizontal="center" vertical="center" wrapText="1"/>
    </xf>
    <xf numFmtId="172" fontId="109" fillId="0" borderId="15" xfId="0" applyNumberFormat="1" applyFont="1" applyFill="1" applyBorder="1" applyAlignment="1">
      <alignment horizontal="center" vertical="center"/>
    </xf>
    <xf numFmtId="3" fontId="109" fillId="0" borderId="15" xfId="0" applyNumberFormat="1" applyFont="1" applyFill="1" applyBorder="1" applyAlignment="1">
      <alignment horizontal="center" vertical="center" wrapText="1"/>
    </xf>
    <xf numFmtId="172" fontId="109" fillId="0" borderId="10" xfId="0" applyNumberFormat="1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186" fontId="109" fillId="0" borderId="10" xfId="0" applyNumberFormat="1" applyFont="1" applyFill="1" applyBorder="1" applyAlignment="1">
      <alignment horizontal="center" vertical="center" wrapText="1"/>
    </xf>
    <xf numFmtId="4" fontId="109" fillId="0" borderId="10" xfId="0" applyNumberFormat="1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vertical="center" wrapText="1"/>
    </xf>
    <xf numFmtId="3" fontId="109" fillId="0" borderId="10" xfId="59" applyNumberFormat="1" applyFont="1" applyFill="1" applyBorder="1" applyAlignment="1">
      <alignment horizontal="center" vertical="center" wrapText="1"/>
      <protection/>
    </xf>
    <xf numFmtId="0" fontId="109" fillId="0" borderId="15" xfId="0" applyFont="1" applyFill="1" applyBorder="1" applyAlignment="1">
      <alignment vertical="center" wrapText="1"/>
    </xf>
    <xf numFmtId="0" fontId="32" fillId="32" borderId="19" xfId="62" applyFont="1" applyFill="1" applyBorder="1" applyAlignment="1">
      <alignment/>
      <protection/>
    </xf>
    <xf numFmtId="3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1" fontId="104" fillId="0" borderId="10" xfId="0" applyNumberFormat="1" applyFont="1" applyFill="1" applyBorder="1" applyAlignment="1">
      <alignment horizontal="center" vertical="center" wrapText="1"/>
    </xf>
    <xf numFmtId="0" fontId="105" fillId="0" borderId="10" xfId="59" applyFont="1" applyFill="1" applyBorder="1" applyAlignment="1">
      <alignment horizontal="left" vertical="center" wrapText="1"/>
      <protection/>
    </xf>
    <xf numFmtId="0" fontId="105" fillId="0" borderId="10" xfId="59" applyFont="1" applyFill="1" applyBorder="1" applyAlignment="1">
      <alignment horizontal="center" vertical="center" wrapText="1"/>
      <protection/>
    </xf>
    <xf numFmtId="180" fontId="105" fillId="0" borderId="10" xfId="0" applyNumberFormat="1" applyFont="1" applyFill="1" applyBorder="1" applyAlignment="1">
      <alignment horizontal="center" vertical="center" wrapText="1"/>
    </xf>
    <xf numFmtId="0" fontId="105" fillId="0" borderId="10" xfId="0" applyNumberFormat="1" applyFont="1" applyFill="1" applyBorder="1" applyAlignment="1">
      <alignment horizontal="center"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21" fillId="0" borderId="10" xfId="0" applyFont="1" applyFill="1" applyBorder="1" applyAlignment="1">
      <alignment horizontal="center" vertical="center" wrapText="1"/>
    </xf>
    <xf numFmtId="173" fontId="104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3" fontId="104" fillId="0" borderId="10" xfId="0" applyNumberFormat="1" applyFont="1" applyFill="1" applyBorder="1" applyAlignment="1">
      <alignment horizontal="right" vertical="center" wrapText="1"/>
    </xf>
    <xf numFmtId="174" fontId="104" fillId="0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7" xfId="0" applyFont="1" applyFill="1" applyBorder="1" applyAlignment="1">
      <alignment horizontal="center" vertical="center"/>
    </xf>
    <xf numFmtId="3" fontId="1" fillId="0" borderId="10" xfId="63" applyNumberFormat="1" applyFont="1" applyBorder="1" applyAlignment="1">
      <alignment horizontal="center" vertical="center" wrapText="1"/>
      <protection/>
    </xf>
    <xf numFmtId="175" fontId="2" fillId="0" borderId="10" xfId="44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0" fillId="0" borderId="0" xfId="0" applyFont="1" applyFill="1" applyAlignment="1">
      <alignment horizontal="center"/>
    </xf>
    <xf numFmtId="0" fontId="120" fillId="0" borderId="0" xfId="0" applyFont="1" applyFill="1" applyAlignment="1">
      <alignment horizontal="left" vertical="center"/>
    </xf>
    <xf numFmtId="0" fontId="120" fillId="0" borderId="0" xfId="0" applyFont="1" applyFill="1" applyAlignment="1">
      <alignment horizontal="center" vertical="center"/>
    </xf>
    <xf numFmtId="0" fontId="109" fillId="33" borderId="10" xfId="0" applyFont="1" applyFill="1" applyBorder="1" applyAlignment="1">
      <alignment horizontal="center" vertical="center"/>
    </xf>
    <xf numFmtId="0" fontId="109" fillId="33" borderId="10" xfId="0" applyFont="1" applyFill="1" applyBorder="1" applyAlignment="1">
      <alignment horizontal="left" vertical="center" wrapText="1"/>
    </xf>
    <xf numFmtId="0" fontId="109" fillId="33" borderId="10" xfId="0" applyFont="1" applyFill="1" applyBorder="1" applyAlignment="1">
      <alignment horizontal="center" vertical="center" wrapText="1"/>
    </xf>
    <xf numFmtId="172" fontId="109" fillId="33" borderId="10" xfId="0" applyNumberFormat="1" applyFont="1" applyFill="1" applyBorder="1" applyAlignment="1">
      <alignment horizontal="center" vertical="center"/>
    </xf>
    <xf numFmtId="172" fontId="109" fillId="33" borderId="10" xfId="0" applyNumberFormat="1" applyFont="1" applyFill="1" applyBorder="1" applyAlignment="1">
      <alignment horizontal="center" vertical="center" wrapText="1"/>
    </xf>
    <xf numFmtId="3" fontId="109" fillId="33" borderId="10" xfId="0" applyNumberFormat="1" applyFont="1" applyFill="1" applyBorder="1" applyAlignment="1">
      <alignment horizontal="center" vertical="center" wrapText="1"/>
    </xf>
    <xf numFmtId="173" fontId="109" fillId="33" borderId="10" xfId="0" applyNumberFormat="1" applyFont="1" applyFill="1" applyBorder="1" applyAlignment="1">
      <alignment horizontal="center" vertical="center" wrapText="1"/>
    </xf>
    <xf numFmtId="9" fontId="109" fillId="33" borderId="10" xfId="44" applyNumberFormat="1" applyFont="1" applyFill="1" applyBorder="1" applyAlignment="1">
      <alignment horizontal="center" vertical="center" wrapText="1"/>
    </xf>
    <xf numFmtId="174" fontId="109" fillId="33" borderId="10" xfId="42" applyNumberFormat="1" applyFont="1" applyFill="1" applyBorder="1" applyAlignment="1">
      <alignment horizontal="center" vertical="center" wrapText="1"/>
    </xf>
    <xf numFmtId="3" fontId="109" fillId="33" borderId="11" xfId="0" applyNumberFormat="1" applyFont="1" applyFill="1" applyBorder="1" applyAlignment="1">
      <alignment horizontal="center" vertical="center" wrapText="1"/>
    </xf>
    <xf numFmtId="0" fontId="120" fillId="33" borderId="0" xfId="0" applyFont="1" applyFill="1" applyBorder="1" applyAlignment="1">
      <alignment/>
    </xf>
    <xf numFmtId="0" fontId="120" fillId="33" borderId="0" xfId="0" applyFont="1" applyFill="1" applyAlignment="1">
      <alignment/>
    </xf>
    <xf numFmtId="0" fontId="109" fillId="33" borderId="17" xfId="0" applyFont="1" applyFill="1" applyBorder="1" applyAlignment="1">
      <alignment horizontal="center" vertical="center" wrapText="1"/>
    </xf>
    <xf numFmtId="186" fontId="109" fillId="33" borderId="10" xfId="0" applyNumberFormat="1" applyFont="1" applyFill="1" applyBorder="1" applyAlignment="1">
      <alignment horizontal="center" vertical="center" wrapText="1"/>
    </xf>
    <xf numFmtId="3" fontId="109" fillId="33" borderId="15" xfId="0" applyNumberFormat="1" applyFont="1" applyFill="1" applyBorder="1" applyAlignment="1">
      <alignment horizontal="center" vertical="center" wrapText="1"/>
    </xf>
    <xf numFmtId="0" fontId="109" fillId="33" borderId="15" xfId="0" applyFont="1" applyFill="1" applyBorder="1" applyAlignment="1">
      <alignment horizontal="center" vertical="center" wrapText="1"/>
    </xf>
    <xf numFmtId="4" fontId="109" fillId="33" borderId="10" xfId="0" applyNumberFormat="1" applyFont="1" applyFill="1" applyBorder="1" applyAlignment="1">
      <alignment horizontal="center" vertical="center" wrapText="1"/>
    </xf>
    <xf numFmtId="0" fontId="109" fillId="36" borderId="10" xfId="0" applyFont="1" applyFill="1" applyBorder="1" applyAlignment="1">
      <alignment horizontal="center" vertical="center"/>
    </xf>
    <xf numFmtId="0" fontId="109" fillId="36" borderId="10" xfId="0" applyFont="1" applyFill="1" applyBorder="1" applyAlignment="1">
      <alignment horizontal="left" vertical="center" wrapText="1"/>
    </xf>
    <xf numFmtId="0" fontId="109" fillId="36" borderId="10" xfId="0" applyFont="1" applyFill="1" applyBorder="1" applyAlignment="1">
      <alignment horizontal="center" vertical="center" wrapText="1"/>
    </xf>
    <xf numFmtId="172" fontId="109" fillId="36" borderId="10" xfId="0" applyNumberFormat="1" applyFont="1" applyFill="1" applyBorder="1" applyAlignment="1">
      <alignment horizontal="center" vertical="center"/>
    </xf>
    <xf numFmtId="3" fontId="109" fillId="36" borderId="10" xfId="0" applyNumberFormat="1" applyFont="1" applyFill="1" applyBorder="1" applyAlignment="1">
      <alignment horizontal="center" vertical="center" wrapText="1"/>
    </xf>
    <xf numFmtId="4" fontId="109" fillId="36" borderId="10" xfId="0" applyNumberFormat="1" applyFont="1" applyFill="1" applyBorder="1" applyAlignment="1">
      <alignment horizontal="center" vertical="center" wrapText="1"/>
    </xf>
    <xf numFmtId="173" fontId="109" fillId="36" borderId="10" xfId="0" applyNumberFormat="1" applyFont="1" applyFill="1" applyBorder="1" applyAlignment="1">
      <alignment horizontal="center" vertical="center" wrapText="1"/>
    </xf>
    <xf numFmtId="9" fontId="109" fillId="36" borderId="10" xfId="44" applyNumberFormat="1" applyFont="1" applyFill="1" applyBorder="1" applyAlignment="1">
      <alignment horizontal="center" vertical="center" wrapText="1"/>
    </xf>
    <xf numFmtId="174" fontId="109" fillId="36" borderId="10" xfId="42" applyNumberFormat="1" applyFont="1" applyFill="1" applyBorder="1" applyAlignment="1">
      <alignment horizontal="center" vertical="center" wrapText="1"/>
    </xf>
    <xf numFmtId="0" fontId="120" fillId="36" borderId="0" xfId="0" applyFont="1" applyFill="1" applyBorder="1" applyAlignment="1">
      <alignment/>
    </xf>
    <xf numFmtId="0" fontId="120" fillId="36" borderId="0" xfId="0" applyFont="1" applyFill="1" applyAlignment="1">
      <alignment/>
    </xf>
    <xf numFmtId="172" fontId="109" fillId="36" borderId="10" xfId="0" applyNumberFormat="1" applyFont="1" applyFill="1" applyBorder="1" applyAlignment="1">
      <alignment horizontal="center" vertical="center" wrapText="1"/>
    </xf>
    <xf numFmtId="173" fontId="109" fillId="36" borderId="10" xfId="59" applyNumberFormat="1" applyFont="1" applyFill="1" applyBorder="1" applyAlignment="1">
      <alignment horizontal="center" vertical="center" wrapText="1"/>
      <protection/>
    </xf>
    <xf numFmtId="3" fontId="109" fillId="36" borderId="11" xfId="0" applyNumberFormat="1" applyFont="1" applyFill="1" applyBorder="1" applyAlignment="1">
      <alignment horizontal="center" vertical="center" wrapText="1"/>
    </xf>
    <xf numFmtId="3" fontId="109" fillId="36" borderId="15" xfId="0" applyNumberFormat="1" applyFont="1" applyFill="1" applyBorder="1" applyAlignment="1">
      <alignment horizontal="center" vertical="center" wrapText="1"/>
    </xf>
    <xf numFmtId="0" fontId="109" fillId="36" borderId="10" xfId="0" applyFont="1" applyFill="1" applyBorder="1" applyAlignment="1">
      <alignment/>
    </xf>
    <xf numFmtId="173" fontId="109" fillId="36" borderId="11" xfId="0" applyNumberFormat="1" applyFont="1" applyFill="1" applyBorder="1" applyAlignment="1">
      <alignment horizontal="center" vertical="center" wrapText="1"/>
    </xf>
    <xf numFmtId="0" fontId="109" fillId="33" borderId="10" xfId="0" applyFont="1" applyFill="1" applyBorder="1" applyAlignment="1">
      <alignment/>
    </xf>
    <xf numFmtId="0" fontId="109" fillId="33" borderId="11" xfId="0" applyFont="1" applyFill="1" applyBorder="1" applyAlignment="1">
      <alignment horizontal="center" vertical="center" wrapText="1"/>
    </xf>
    <xf numFmtId="173" fontId="109" fillId="33" borderId="11" xfId="0" applyNumberFormat="1" applyFont="1" applyFill="1" applyBorder="1" applyAlignment="1">
      <alignment horizontal="center" vertical="center" wrapText="1"/>
    </xf>
    <xf numFmtId="0" fontId="109" fillId="33" borderId="17" xfId="0" applyFont="1" applyFill="1" applyBorder="1" applyAlignment="1">
      <alignment vertical="center" wrapText="1"/>
    </xf>
    <xf numFmtId="173" fontId="109" fillId="33" borderId="10" xfId="59" applyNumberFormat="1" applyFont="1" applyFill="1" applyBorder="1" applyAlignment="1">
      <alignment horizontal="center" vertical="center" wrapText="1"/>
      <protection/>
    </xf>
    <xf numFmtId="3" fontId="109" fillId="33" borderId="10" xfId="59" applyNumberFormat="1" applyFont="1" applyFill="1" applyBorder="1" applyAlignment="1">
      <alignment horizontal="center" vertical="center" wrapText="1"/>
      <protection/>
    </xf>
    <xf numFmtId="0" fontId="109" fillId="33" borderId="15" xfId="0" applyFont="1" applyFill="1" applyBorder="1" applyAlignment="1">
      <alignment vertical="center" wrapText="1"/>
    </xf>
    <xf numFmtId="3" fontId="109" fillId="0" borderId="17" xfId="0" applyNumberFormat="1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173" fontId="105" fillId="0" borderId="10" xfId="0" applyNumberFormat="1" applyFont="1" applyFill="1" applyBorder="1" applyAlignment="1">
      <alignment horizontal="center" vertical="center" wrapText="1"/>
    </xf>
    <xf numFmtId="1" fontId="109" fillId="0" borderId="11" xfId="0" applyNumberFormat="1" applyFont="1" applyFill="1" applyBorder="1" applyAlignment="1">
      <alignment horizontal="center" vertical="center"/>
    </xf>
    <xf numFmtId="0" fontId="109" fillId="0" borderId="11" xfId="0" applyFont="1" applyFill="1" applyBorder="1" applyAlignment="1">
      <alignment horizontal="center" vertical="center" wrapText="1"/>
    </xf>
    <xf numFmtId="0" fontId="109" fillId="0" borderId="15" xfId="0" applyFont="1" applyFill="1" applyBorder="1" applyAlignment="1">
      <alignment horizontal="center" vertical="center" wrapText="1"/>
    </xf>
    <xf numFmtId="172" fontId="109" fillId="0" borderId="11" xfId="0" applyNumberFormat="1" applyFont="1" applyFill="1" applyBorder="1" applyAlignment="1">
      <alignment horizontal="center" vertical="center"/>
    </xf>
    <xf numFmtId="3" fontId="109" fillId="0" borderId="11" xfId="0" applyNumberFormat="1" applyFont="1" applyFill="1" applyBorder="1" applyAlignment="1">
      <alignment horizontal="center" vertical="center" wrapText="1"/>
    </xf>
    <xf numFmtId="3" fontId="109" fillId="0" borderId="15" xfId="0" applyNumberFormat="1" applyFont="1" applyFill="1" applyBorder="1" applyAlignment="1">
      <alignment horizontal="center" vertical="center" wrapText="1"/>
    </xf>
    <xf numFmtId="173" fontId="109" fillId="0" borderId="11" xfId="0" applyNumberFormat="1" applyFont="1" applyFill="1" applyBorder="1" applyAlignment="1">
      <alignment horizontal="center" vertical="center" wrapText="1"/>
    </xf>
    <xf numFmtId="174" fontId="109" fillId="0" borderId="11" xfId="42" applyNumberFormat="1" applyFont="1" applyFill="1" applyBorder="1" applyAlignment="1">
      <alignment horizontal="center" vertical="center" wrapText="1"/>
    </xf>
    <xf numFmtId="9" fontId="109" fillId="0" borderId="11" xfId="44" applyNumberFormat="1" applyFont="1" applyFill="1" applyBorder="1" applyAlignment="1">
      <alignment horizontal="center" vertical="center" wrapText="1"/>
    </xf>
    <xf numFmtId="3" fontId="107" fillId="0" borderId="0" xfId="0" applyNumberFormat="1" applyFont="1" applyFill="1" applyAlignment="1">
      <alignment/>
    </xf>
    <xf numFmtId="172" fontId="109" fillId="0" borderId="11" xfId="0" applyNumberFormat="1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 wrapText="1"/>
    </xf>
    <xf numFmtId="3" fontId="109" fillId="0" borderId="11" xfId="0" applyNumberFormat="1" applyFont="1" applyFill="1" applyBorder="1" applyAlignment="1">
      <alignment horizontal="center" vertical="center" wrapText="1"/>
    </xf>
    <xf numFmtId="173" fontId="109" fillId="0" borderId="11" xfId="0" applyNumberFormat="1" applyFont="1" applyFill="1" applyBorder="1" applyAlignment="1">
      <alignment horizontal="center" vertical="center" wrapText="1"/>
    </xf>
    <xf numFmtId="1" fontId="1" fillId="0" borderId="10" xfId="59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108" fillId="0" borderId="10" xfId="0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05" fillId="0" borderId="21" xfId="0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1" fillId="0" borderId="22" xfId="62" applyFont="1" applyFill="1" applyBorder="1" applyAlignment="1">
      <alignment horizontal="left" vertic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180" fontId="1" fillId="0" borderId="10" xfId="62" applyNumberFormat="1" applyFont="1" applyFill="1" applyBorder="1" applyAlignment="1">
      <alignment vertical="center" wrapText="1"/>
      <protection/>
    </xf>
    <xf numFmtId="3" fontId="100" fillId="0" borderId="11" xfId="45" applyNumberFormat="1" applyFont="1" applyFill="1" applyBorder="1" applyAlignment="1">
      <alignment horizontal="center" vertical="center"/>
    </xf>
    <xf numFmtId="173" fontId="100" fillId="0" borderId="11" xfId="45" applyNumberFormat="1" applyFont="1" applyFill="1" applyBorder="1" applyAlignment="1">
      <alignment horizontal="center" vertical="center"/>
    </xf>
    <xf numFmtId="175" fontId="1" fillId="0" borderId="10" xfId="42" applyNumberFormat="1" applyFont="1" applyFill="1" applyBorder="1" applyAlignment="1">
      <alignment vertical="center" wrapText="1"/>
    </xf>
    <xf numFmtId="3" fontId="99" fillId="0" borderId="10" xfId="45" applyNumberFormat="1" applyFont="1" applyFill="1" applyBorder="1" applyAlignment="1">
      <alignment horizontal="center" vertical="center"/>
    </xf>
    <xf numFmtId="0" fontId="122" fillId="0" borderId="0" xfId="0" applyFont="1" applyFill="1" applyAlignment="1">
      <alignment/>
    </xf>
    <xf numFmtId="3" fontId="100" fillId="0" borderId="15" xfId="45" applyNumberFormat="1" applyFont="1" applyFill="1" applyBorder="1" applyAlignment="1">
      <alignment horizontal="center" vertical="center"/>
    </xf>
    <xf numFmtId="3" fontId="100" fillId="0" borderId="10" xfId="45" applyNumberFormat="1" applyFont="1" applyFill="1" applyBorder="1" applyAlignment="1">
      <alignment horizontal="center" vertical="center"/>
    </xf>
    <xf numFmtId="0" fontId="122" fillId="0" borderId="10" xfId="0" applyFont="1" applyFill="1" applyBorder="1" applyAlignment="1">
      <alignment/>
    </xf>
    <xf numFmtId="0" fontId="99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horizontal="left" vertical="center" wrapText="1"/>
    </xf>
    <xf numFmtId="175" fontId="99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172" fontId="109" fillId="0" borderId="11" xfId="0" applyNumberFormat="1" applyFont="1" applyFill="1" applyBorder="1" applyAlignment="1">
      <alignment horizontal="center" vertical="center"/>
    </xf>
    <xf numFmtId="3" fontId="109" fillId="0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19" fillId="32" borderId="22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/>
    </xf>
    <xf numFmtId="0" fontId="35" fillId="32" borderId="10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3" fontId="17" fillId="32" borderId="10" xfId="0" applyNumberFormat="1" applyFont="1" applyFill="1" applyBorder="1" applyAlignment="1">
      <alignment horizontal="center" vertical="center"/>
    </xf>
    <xf numFmtId="173" fontId="6" fillId="32" borderId="10" xfId="0" applyNumberFormat="1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horizontal="center" vertical="center"/>
    </xf>
    <xf numFmtId="1" fontId="39" fillId="32" borderId="10" xfId="0" applyNumberFormat="1" applyFont="1" applyFill="1" applyBorder="1" applyAlignment="1">
      <alignment horizontal="center" vertical="center"/>
    </xf>
    <xf numFmtId="172" fontId="39" fillId="32" borderId="10" xfId="0" applyNumberFormat="1" applyFont="1" applyFill="1" applyBorder="1" applyAlignment="1">
      <alignment horizontal="center" vertical="center"/>
    </xf>
    <xf numFmtId="2" fontId="39" fillId="32" borderId="10" xfId="0" applyNumberFormat="1" applyFont="1" applyFill="1" applyBorder="1" applyAlignment="1">
      <alignment horizontal="center" vertical="center"/>
    </xf>
    <xf numFmtId="172" fontId="39" fillId="32" borderId="10" xfId="0" applyNumberFormat="1" applyFont="1" applyFill="1" applyBorder="1" applyAlignment="1">
      <alignment horizontal="right" vertical="center"/>
    </xf>
    <xf numFmtId="172" fontId="17" fillId="32" borderId="10" xfId="0" applyNumberFormat="1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2" fontId="39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172" fontId="17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right" vertical="center"/>
    </xf>
    <xf numFmtId="172" fontId="111" fillId="32" borderId="10" xfId="0" applyNumberFormat="1" applyFont="1" applyFill="1" applyBorder="1" applyAlignment="1">
      <alignment horizontal="center" vertical="center" wrapText="1"/>
    </xf>
    <xf numFmtId="172" fontId="25" fillId="32" borderId="10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/>
    </xf>
    <xf numFmtId="172" fontId="17" fillId="32" borderId="11" xfId="0" applyNumberFormat="1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1" fontId="6" fillId="32" borderId="15" xfId="0" applyNumberFormat="1" applyFont="1" applyFill="1" applyBorder="1" applyAlignment="1">
      <alignment horizontal="center" vertical="center"/>
    </xf>
    <xf numFmtId="2" fontId="6" fillId="32" borderId="15" xfId="0" applyNumberFormat="1" applyFont="1" applyFill="1" applyBorder="1" applyAlignment="1">
      <alignment vertical="center" wrapText="1"/>
    </xf>
    <xf numFmtId="2" fontId="6" fillId="32" borderId="15" xfId="0" applyNumberFormat="1" applyFont="1" applyFill="1" applyBorder="1" applyAlignment="1">
      <alignment horizontal="center" vertical="center" wrapText="1"/>
    </xf>
    <xf numFmtId="172" fontId="6" fillId="32" borderId="15" xfId="0" applyNumberFormat="1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172" fontId="17" fillId="32" borderId="15" xfId="0" applyNumberFormat="1" applyFont="1" applyFill="1" applyBorder="1" applyAlignment="1">
      <alignment horizontal="center" vertical="center" wrapText="1"/>
    </xf>
    <xf numFmtId="172" fontId="17" fillId="32" borderId="15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vertical="center" wrapText="1"/>
    </xf>
    <xf numFmtId="0" fontId="6" fillId="32" borderId="15" xfId="0" applyFont="1" applyFill="1" applyBorder="1" applyAlignment="1">
      <alignment vertical="center" wrapText="1"/>
    </xf>
    <xf numFmtId="0" fontId="6" fillId="32" borderId="15" xfId="0" applyFont="1" applyFill="1" applyBorder="1" applyAlignment="1">
      <alignment horizontal="center"/>
    </xf>
    <xf numFmtId="0" fontId="111" fillId="32" borderId="15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173" fontId="10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4" fontId="1" fillId="32" borderId="15" xfId="0" applyNumberFormat="1" applyFont="1" applyFill="1" applyBorder="1" applyAlignment="1">
      <alignment horizontal="center" vertical="center" wrapText="1"/>
    </xf>
    <xf numFmtId="173" fontId="1" fillId="32" borderId="22" xfId="0" applyNumberFormat="1" applyFont="1" applyFill="1" applyBorder="1" applyAlignment="1">
      <alignment horizontal="center" vertical="center" wrapText="1"/>
    </xf>
    <xf numFmtId="173" fontId="1" fillId="32" borderId="12" xfId="0" applyNumberFormat="1" applyFont="1" applyFill="1" applyBorder="1" applyAlignment="1">
      <alignment horizontal="center" vertical="center" wrapText="1"/>
    </xf>
    <xf numFmtId="173" fontId="1" fillId="32" borderId="13" xfId="0" applyNumberFormat="1" applyFont="1" applyFill="1" applyBorder="1" applyAlignment="1">
      <alignment horizontal="center" vertical="center" wrapText="1"/>
    </xf>
    <xf numFmtId="173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173" fontId="1" fillId="32" borderId="16" xfId="0" applyNumberFormat="1" applyFont="1" applyFill="1" applyBorder="1" applyAlignment="1">
      <alignment horizontal="center" vertical="center" wrapText="1"/>
    </xf>
    <xf numFmtId="173" fontId="1" fillId="32" borderId="23" xfId="0" applyNumberFormat="1" applyFont="1" applyFill="1" applyBorder="1" applyAlignment="1">
      <alignment horizontal="center" vertical="center" wrapText="1"/>
    </xf>
    <xf numFmtId="173" fontId="1" fillId="32" borderId="11" xfId="0" applyNumberFormat="1" applyFont="1" applyFill="1" applyBorder="1" applyAlignment="1">
      <alignment horizontal="center" vertical="center" wrapText="1"/>
    </xf>
    <xf numFmtId="173" fontId="1" fillId="32" borderId="15" xfId="0" applyNumberFormat="1" applyFont="1" applyFill="1" applyBorder="1" applyAlignment="1">
      <alignment horizontal="center" vertical="center" wrapText="1"/>
    </xf>
    <xf numFmtId="173" fontId="104" fillId="0" borderId="11" xfId="0" applyNumberFormat="1" applyFont="1" applyFill="1" applyBorder="1" applyAlignment="1">
      <alignment horizontal="center" vertical="center"/>
    </xf>
    <xf numFmtId="173" fontId="104" fillId="0" borderId="17" xfId="0" applyNumberFormat="1" applyFont="1" applyFill="1" applyBorder="1" applyAlignment="1">
      <alignment horizontal="center" vertical="center"/>
    </xf>
    <xf numFmtId="173" fontId="104" fillId="0" borderId="15" xfId="0" applyNumberFormat="1" applyFont="1" applyFill="1" applyBorder="1" applyAlignment="1">
      <alignment horizontal="center" vertical="center"/>
    </xf>
    <xf numFmtId="173" fontId="21" fillId="0" borderId="11" xfId="0" applyNumberFormat="1" applyFont="1" applyFill="1" applyBorder="1" applyAlignment="1">
      <alignment horizontal="center" vertical="center"/>
    </xf>
    <xf numFmtId="173" fontId="21" fillId="0" borderId="15" xfId="0" applyNumberFormat="1" applyFont="1" applyFill="1" applyBorder="1" applyAlignment="1">
      <alignment horizontal="center" vertical="center"/>
    </xf>
    <xf numFmtId="173" fontId="1" fillId="0" borderId="22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21" fillId="0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3" fontId="1" fillId="0" borderId="16" xfId="0" applyNumberFormat="1" applyFont="1" applyFill="1" applyBorder="1" applyAlignment="1">
      <alignment horizontal="center" vertical="center" wrapText="1"/>
    </xf>
    <xf numFmtId="173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1" fillId="0" borderId="15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4" fontId="100" fillId="0" borderId="11" xfId="0" applyNumberFormat="1" applyFont="1" applyFill="1" applyBorder="1" applyAlignment="1">
      <alignment horizontal="center" vertical="center" wrapText="1"/>
    </xf>
    <xf numFmtId="4" fontId="100" fillId="0" borderId="15" xfId="0" applyNumberFormat="1" applyFont="1" applyFill="1" applyBorder="1" applyAlignment="1">
      <alignment horizontal="center" vertical="center" wrapText="1"/>
    </xf>
    <xf numFmtId="173" fontId="100" fillId="0" borderId="22" xfId="0" applyNumberFormat="1" applyFont="1" applyFill="1" applyBorder="1" applyAlignment="1">
      <alignment horizontal="center" vertical="center" wrapText="1"/>
    </xf>
    <xf numFmtId="173" fontId="100" fillId="0" borderId="12" xfId="0" applyNumberFormat="1" applyFont="1" applyFill="1" applyBorder="1" applyAlignment="1">
      <alignment horizontal="center" vertical="center" wrapText="1"/>
    </xf>
    <xf numFmtId="173" fontId="100" fillId="0" borderId="13" xfId="0" applyNumberFormat="1" applyFont="1" applyFill="1" applyBorder="1" applyAlignment="1">
      <alignment horizontal="center" vertical="center" wrapText="1"/>
    </xf>
    <xf numFmtId="173" fontId="100" fillId="0" borderId="10" xfId="0" applyNumberFormat="1" applyFont="1" applyFill="1" applyBorder="1" applyAlignment="1">
      <alignment horizontal="center" vertical="center" wrapText="1"/>
    </xf>
    <xf numFmtId="173" fontId="100" fillId="0" borderId="16" xfId="0" applyNumberFormat="1" applyFont="1" applyFill="1" applyBorder="1" applyAlignment="1">
      <alignment horizontal="center" vertical="center" wrapText="1"/>
    </xf>
    <xf numFmtId="173" fontId="100" fillId="0" borderId="23" xfId="0" applyNumberFormat="1" applyFont="1" applyFill="1" applyBorder="1" applyAlignment="1">
      <alignment horizontal="center" vertical="center" wrapText="1"/>
    </xf>
    <xf numFmtId="173" fontId="100" fillId="0" borderId="11" xfId="0" applyNumberFormat="1" applyFont="1" applyFill="1" applyBorder="1" applyAlignment="1">
      <alignment horizontal="center" vertical="center" wrapText="1"/>
    </xf>
    <xf numFmtId="173" fontId="100" fillId="0" borderId="15" xfId="0" applyNumberFormat="1" applyFont="1" applyFill="1" applyBorder="1" applyAlignment="1">
      <alignment horizontal="center" vertical="center" wrapText="1"/>
    </xf>
    <xf numFmtId="3" fontId="99" fillId="0" borderId="22" xfId="0" applyNumberFormat="1" applyFont="1" applyFill="1" applyBorder="1" applyAlignment="1">
      <alignment horizontal="center" vertical="center" wrapText="1"/>
    </xf>
    <xf numFmtId="3" fontId="99" fillId="0" borderId="12" xfId="0" applyNumberFormat="1" applyFont="1" applyFill="1" applyBorder="1" applyAlignment="1">
      <alignment horizontal="center" vertical="center" wrapText="1"/>
    </xf>
    <xf numFmtId="1" fontId="21" fillId="32" borderId="11" xfId="0" applyNumberFormat="1" applyFont="1" applyFill="1" applyBorder="1" applyAlignment="1">
      <alignment horizontal="center" vertical="center"/>
    </xf>
    <xf numFmtId="1" fontId="21" fillId="32" borderId="15" xfId="0" applyNumberFormat="1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172" fontId="28" fillId="32" borderId="11" xfId="0" applyNumberFormat="1" applyFont="1" applyFill="1" applyBorder="1" applyAlignment="1">
      <alignment horizontal="center" vertical="center"/>
    </xf>
    <xf numFmtId="172" fontId="28" fillId="32" borderId="15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104" fillId="0" borderId="11" xfId="0" applyNumberFormat="1" applyFont="1" applyFill="1" applyBorder="1" applyAlignment="1">
      <alignment horizontal="center" vertical="center" wrapText="1"/>
    </xf>
    <xf numFmtId="3" fontId="104" fillId="0" borderId="15" xfId="0" applyNumberFormat="1" applyFont="1" applyFill="1" applyBorder="1" applyAlignment="1">
      <alignment horizontal="center" vertical="center" wrapText="1"/>
    </xf>
    <xf numFmtId="173" fontId="21" fillId="0" borderId="11" xfId="0" applyNumberFormat="1" applyFont="1" applyFill="1" applyBorder="1" applyAlignment="1">
      <alignment horizontal="center" vertical="center" wrapText="1"/>
    </xf>
    <xf numFmtId="173" fontId="21" fillId="0" borderId="15" xfId="0" applyNumberFormat="1" applyFont="1" applyFill="1" applyBorder="1" applyAlignment="1">
      <alignment horizontal="center" vertical="center" wrapText="1"/>
    </xf>
    <xf numFmtId="9" fontId="104" fillId="0" borderId="11" xfId="44" applyNumberFormat="1" applyFont="1" applyFill="1" applyBorder="1" applyAlignment="1">
      <alignment horizontal="center" vertical="center" wrapText="1"/>
    </xf>
    <xf numFmtId="9" fontId="104" fillId="0" borderId="15" xfId="44" applyNumberFormat="1" applyFont="1" applyFill="1" applyBorder="1" applyAlignment="1">
      <alignment horizontal="center" vertical="center" wrapText="1"/>
    </xf>
    <xf numFmtId="174" fontId="21" fillId="0" borderId="11" xfId="42" applyNumberFormat="1" applyFont="1" applyFill="1" applyBorder="1" applyAlignment="1">
      <alignment horizontal="center" vertical="center" wrapText="1"/>
    </xf>
    <xf numFmtId="174" fontId="21" fillId="0" borderId="15" xfId="42" applyNumberFormat="1" applyFont="1" applyFill="1" applyBorder="1" applyAlignment="1">
      <alignment horizontal="center" vertical="center" wrapText="1"/>
    </xf>
    <xf numFmtId="3" fontId="100" fillId="0" borderId="22" xfId="0" applyNumberFormat="1" applyFont="1" applyFill="1" applyBorder="1" applyAlignment="1">
      <alignment horizontal="center" vertical="center" wrapText="1"/>
    </xf>
    <xf numFmtId="3" fontId="100" fillId="0" borderId="12" xfId="0" applyNumberFormat="1" applyFont="1" applyFill="1" applyBorder="1" applyAlignment="1">
      <alignment horizontal="center" vertical="center" wrapText="1"/>
    </xf>
    <xf numFmtId="1" fontId="104" fillId="32" borderId="11" xfId="0" applyNumberFormat="1" applyFont="1" applyFill="1" applyBorder="1" applyAlignment="1">
      <alignment horizontal="center" vertical="center"/>
    </xf>
    <xf numFmtId="1" fontId="104" fillId="32" borderId="15" xfId="0" applyNumberFormat="1" applyFont="1" applyFill="1" applyBorder="1" applyAlignment="1">
      <alignment horizontal="center" vertical="center"/>
    </xf>
    <xf numFmtId="0" fontId="104" fillId="32" borderId="11" xfId="0" applyFont="1" applyFill="1" applyBorder="1" applyAlignment="1">
      <alignment horizontal="center" vertical="center" wrapText="1"/>
    </xf>
    <xf numFmtId="0" fontId="104" fillId="32" borderId="15" xfId="0" applyFont="1" applyFill="1" applyBorder="1" applyAlignment="1">
      <alignment horizontal="center" vertical="center" wrapText="1"/>
    </xf>
    <xf numFmtId="172" fontId="104" fillId="32" borderId="11" xfId="0" applyNumberFormat="1" applyFont="1" applyFill="1" applyBorder="1" applyAlignment="1">
      <alignment horizontal="center" vertical="center"/>
    </xf>
    <xf numFmtId="172" fontId="104" fillId="32" borderId="15" xfId="0" applyNumberFormat="1" applyFont="1" applyFill="1" applyBorder="1" applyAlignment="1">
      <alignment horizontal="center" vertical="center"/>
    </xf>
    <xf numFmtId="173" fontId="104" fillId="0" borderId="11" xfId="0" applyNumberFormat="1" applyFont="1" applyFill="1" applyBorder="1" applyAlignment="1">
      <alignment horizontal="center" vertical="center" wrapText="1"/>
    </xf>
    <xf numFmtId="173" fontId="104" fillId="0" borderId="15" xfId="0" applyNumberFormat="1" applyFont="1" applyFill="1" applyBorder="1" applyAlignment="1">
      <alignment horizontal="center" vertical="center" wrapText="1"/>
    </xf>
    <xf numFmtId="174" fontId="104" fillId="0" borderId="11" xfId="42" applyNumberFormat="1" applyFont="1" applyFill="1" applyBorder="1" applyAlignment="1">
      <alignment horizontal="center" vertical="center" wrapText="1"/>
    </xf>
    <xf numFmtId="174" fontId="104" fillId="0" borderId="15" xfId="42" applyNumberFormat="1" applyFont="1" applyFill="1" applyBorder="1" applyAlignment="1">
      <alignment horizontal="center" vertical="center" wrapText="1"/>
    </xf>
    <xf numFmtId="0" fontId="1" fillId="0" borderId="0" xfId="59" applyFont="1" applyAlignment="1">
      <alignment horizontal="center" vertical="center" wrapText="1"/>
      <protection/>
    </xf>
    <xf numFmtId="0" fontId="3" fillId="32" borderId="19" xfId="62" applyFont="1" applyFill="1" applyBorder="1" applyAlignment="1">
      <alignment horizontal="center" vertical="center" wrapText="1"/>
      <protection/>
    </xf>
    <xf numFmtId="1" fontId="1" fillId="0" borderId="10" xfId="59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0" xfId="62" applyFont="1" applyFill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top" wrapText="1"/>
      <protection/>
    </xf>
    <xf numFmtId="0" fontId="3" fillId="0" borderId="0" xfId="62" applyFont="1" applyFill="1" applyAlignment="1">
      <alignment horizontal="center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5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9" xfId="0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173" fontId="105" fillId="0" borderId="22" xfId="0" applyNumberFormat="1" applyFont="1" applyFill="1" applyBorder="1" applyAlignment="1">
      <alignment horizontal="center" vertical="center" wrapText="1"/>
    </xf>
    <xf numFmtId="173" fontId="105" fillId="0" borderId="12" xfId="0" applyNumberFormat="1" applyFont="1" applyFill="1" applyBorder="1" applyAlignment="1">
      <alignment horizontal="center" vertical="center" wrapText="1"/>
    </xf>
    <xf numFmtId="173" fontId="105" fillId="0" borderId="16" xfId="0" applyNumberFormat="1" applyFont="1" applyFill="1" applyBorder="1" applyAlignment="1">
      <alignment horizontal="center" vertical="center" wrapText="1"/>
    </xf>
    <xf numFmtId="173" fontId="105" fillId="0" borderId="23" xfId="0" applyNumberFormat="1" applyFont="1" applyFill="1" applyBorder="1" applyAlignment="1">
      <alignment horizontal="center" vertical="center" wrapText="1"/>
    </xf>
    <xf numFmtId="173" fontId="105" fillId="0" borderId="11" xfId="0" applyNumberFormat="1" applyFont="1" applyFill="1" applyBorder="1" applyAlignment="1">
      <alignment horizontal="center" vertical="center" wrapText="1"/>
    </xf>
    <xf numFmtId="173" fontId="105" fillId="0" borderId="15" xfId="0" applyNumberFormat="1" applyFont="1" applyFill="1" applyBorder="1" applyAlignment="1">
      <alignment horizontal="center" vertical="center" wrapText="1"/>
    </xf>
    <xf numFmtId="3" fontId="109" fillId="0" borderId="22" xfId="0" applyNumberFormat="1" applyFont="1" applyFill="1" applyBorder="1" applyAlignment="1">
      <alignment horizontal="center" vertical="center" wrapText="1"/>
    </xf>
    <xf numFmtId="3" fontId="109" fillId="0" borderId="13" xfId="0" applyNumberFormat="1" applyFont="1" applyFill="1" applyBorder="1" applyAlignment="1">
      <alignment horizontal="center" vertical="center" wrapText="1"/>
    </xf>
    <xf numFmtId="3" fontId="109" fillId="0" borderId="12" xfId="0" applyNumberFormat="1" applyFont="1" applyFill="1" applyBorder="1" applyAlignment="1">
      <alignment horizontal="center" vertical="center" wrapText="1"/>
    </xf>
    <xf numFmtId="173" fontId="105" fillId="0" borderId="10" xfId="0" applyNumberFormat="1" applyFont="1" applyFill="1" applyBorder="1" applyAlignment="1">
      <alignment horizontal="center" vertical="center" wrapText="1"/>
    </xf>
    <xf numFmtId="4" fontId="105" fillId="0" borderId="11" xfId="0" applyNumberFormat="1" applyFont="1" applyFill="1" applyBorder="1" applyAlignment="1">
      <alignment horizontal="center" vertical="center" wrapText="1"/>
    </xf>
    <xf numFmtId="4" fontId="105" fillId="0" borderId="15" xfId="0" applyNumberFormat="1" applyFont="1" applyFill="1" applyBorder="1" applyAlignment="1">
      <alignment horizontal="center" vertical="center" wrapText="1"/>
    </xf>
    <xf numFmtId="3" fontId="115" fillId="0" borderId="22" xfId="0" applyNumberFormat="1" applyFont="1" applyFill="1" applyBorder="1" applyAlignment="1">
      <alignment horizontal="center" vertical="center" wrapText="1"/>
    </xf>
    <xf numFmtId="3" fontId="115" fillId="0" borderId="12" xfId="0" applyNumberFormat="1" applyFont="1" applyFill="1" applyBorder="1" applyAlignment="1">
      <alignment horizontal="center" vertical="center" wrapText="1"/>
    </xf>
    <xf numFmtId="173" fontId="105" fillId="0" borderId="13" xfId="0" applyNumberFormat="1" applyFont="1" applyFill="1" applyBorder="1" applyAlignment="1">
      <alignment horizontal="center" vertical="center" wrapText="1"/>
    </xf>
    <xf numFmtId="17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/>
    </xf>
    <xf numFmtId="172" fontId="1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left" vertical="center" wrapText="1"/>
    </xf>
    <xf numFmtId="1" fontId="6" fillId="32" borderId="10" xfId="0" applyNumberFormat="1" applyFont="1" applyFill="1" applyBorder="1" applyAlignment="1">
      <alignment horizontal="left" vertical="center"/>
    </xf>
    <xf numFmtId="0" fontId="17" fillId="32" borderId="10" xfId="0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center" wrapText="1"/>
    </xf>
    <xf numFmtId="0" fontId="19" fillId="32" borderId="10" xfId="0" applyFont="1" applyFill="1" applyBorder="1" applyAlignment="1">
      <alignment horizontal="center" vertical="center" wrapText="1"/>
    </xf>
    <xf numFmtId="172" fontId="109" fillId="0" borderId="11" xfId="0" applyNumberFormat="1" applyFont="1" applyFill="1" applyBorder="1" applyAlignment="1">
      <alignment horizontal="center" vertical="center"/>
    </xf>
    <xf numFmtId="172" fontId="109" fillId="0" borderId="15" xfId="0" applyNumberFormat="1" applyFont="1" applyFill="1" applyBorder="1" applyAlignment="1">
      <alignment horizontal="center" vertical="center"/>
    </xf>
    <xf numFmtId="174" fontId="109" fillId="0" borderId="11" xfId="42" applyNumberFormat="1" applyFont="1" applyFill="1" applyBorder="1" applyAlignment="1">
      <alignment horizontal="center" vertical="center" wrapText="1"/>
    </xf>
    <xf numFmtId="174" fontId="109" fillId="0" borderId="15" xfId="42" applyNumberFormat="1" applyFont="1" applyFill="1" applyBorder="1" applyAlignment="1">
      <alignment horizontal="center" vertical="center" wrapText="1"/>
    </xf>
    <xf numFmtId="3" fontId="109" fillId="0" borderId="11" xfId="0" applyNumberFormat="1" applyFont="1" applyFill="1" applyBorder="1" applyAlignment="1">
      <alignment horizontal="center" vertical="center" wrapText="1"/>
    </xf>
    <xf numFmtId="3" fontId="109" fillId="0" borderId="15" xfId="0" applyNumberFormat="1" applyFont="1" applyFill="1" applyBorder="1" applyAlignment="1">
      <alignment horizontal="center" vertical="center" wrapText="1"/>
    </xf>
    <xf numFmtId="9" fontId="109" fillId="0" borderId="11" xfId="44" applyNumberFormat="1" applyFont="1" applyFill="1" applyBorder="1" applyAlignment="1">
      <alignment horizontal="center" vertical="center" wrapText="1"/>
    </xf>
    <xf numFmtId="9" fontId="109" fillId="0" borderId="15" xfId="44" applyNumberFormat="1" applyFont="1" applyFill="1" applyBorder="1" applyAlignment="1">
      <alignment horizontal="center" vertical="center" wrapText="1"/>
    </xf>
    <xf numFmtId="173" fontId="109" fillId="0" borderId="11" xfId="0" applyNumberFormat="1" applyFont="1" applyFill="1" applyBorder="1" applyAlignment="1">
      <alignment horizontal="center" vertical="center" wrapText="1"/>
    </xf>
    <xf numFmtId="173" fontId="109" fillId="0" borderId="15" xfId="0" applyNumberFormat="1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09" fillId="0" borderId="15" xfId="0" applyFont="1" applyFill="1" applyBorder="1" applyAlignment="1">
      <alignment horizontal="center" vertical="center" wrapText="1"/>
    </xf>
    <xf numFmtId="1" fontId="109" fillId="0" borderId="11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173" fontId="104" fillId="34" borderId="11" xfId="0" applyNumberFormat="1" applyFont="1" applyFill="1" applyBorder="1" applyAlignment="1">
      <alignment horizontal="center" vertical="center"/>
    </xf>
    <xf numFmtId="173" fontId="104" fillId="34" borderId="15" xfId="0" applyNumberFormat="1" applyFont="1" applyFill="1" applyBorder="1" applyAlignment="1">
      <alignment horizontal="center" vertical="center"/>
    </xf>
    <xf numFmtId="173" fontId="104" fillId="34" borderId="17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173" fontId="21" fillId="34" borderId="11" xfId="0" applyNumberFormat="1" applyFont="1" applyFill="1" applyBorder="1" applyAlignment="1">
      <alignment horizontal="center" vertical="center"/>
    </xf>
    <xf numFmtId="173" fontId="21" fillId="34" borderId="17" xfId="0" applyNumberFormat="1" applyFont="1" applyFill="1" applyBorder="1" applyAlignment="1">
      <alignment horizontal="center" vertical="center"/>
    </xf>
    <xf numFmtId="173" fontId="21" fillId="34" borderId="15" xfId="0" applyNumberFormat="1" applyFont="1" applyFill="1" applyBorder="1" applyAlignment="1">
      <alignment horizontal="center" vertical="center"/>
    </xf>
    <xf numFmtId="173" fontId="104" fillId="32" borderId="11" xfId="0" applyNumberFormat="1" applyFont="1" applyFill="1" applyBorder="1" applyAlignment="1">
      <alignment horizontal="center" vertical="center"/>
    </xf>
    <xf numFmtId="173" fontId="104" fillId="32" borderId="17" xfId="0" applyNumberFormat="1" applyFont="1" applyFill="1" applyBorder="1" applyAlignment="1">
      <alignment horizontal="center" vertical="center"/>
    </xf>
    <xf numFmtId="173" fontId="104" fillId="32" borderId="15" xfId="0" applyNumberFormat="1" applyFont="1" applyFill="1" applyBorder="1" applyAlignment="1">
      <alignment horizontal="center" vertical="center"/>
    </xf>
    <xf numFmtId="0" fontId="1" fillId="32" borderId="0" xfId="62" applyFont="1" applyFill="1" applyAlignment="1">
      <alignment horizontal="center" vertical="center"/>
      <protection/>
    </xf>
    <xf numFmtId="0" fontId="1" fillId="35" borderId="0" xfId="62" applyFont="1" applyFill="1" applyAlignment="1">
      <alignment horizontal="center" vertical="center" wrapText="1"/>
      <protection/>
    </xf>
    <xf numFmtId="0" fontId="15" fillId="32" borderId="0" xfId="62" applyFont="1" applyFill="1" applyAlignment="1">
      <alignment horizontal="center" vertical="center"/>
      <protection/>
    </xf>
    <xf numFmtId="0" fontId="100" fillId="35" borderId="10" xfId="62" applyFont="1" applyFill="1" applyBorder="1" applyAlignment="1">
      <alignment horizontal="center" vertical="center" wrapText="1"/>
      <protection/>
    </xf>
    <xf numFmtId="0" fontId="100" fillId="0" borderId="11" xfId="62" applyFont="1" applyBorder="1" applyAlignment="1">
      <alignment horizontal="center" vertical="center" wrapText="1"/>
      <protection/>
    </xf>
    <xf numFmtId="0" fontId="100" fillId="0" borderId="15" xfId="62" applyFont="1" applyBorder="1" applyAlignment="1">
      <alignment horizontal="center" vertical="center" wrapText="1"/>
      <protection/>
    </xf>
    <xf numFmtId="0" fontId="100" fillId="0" borderId="21" xfId="62" applyFont="1" applyBorder="1" applyAlignment="1">
      <alignment horizontal="center" vertical="center" wrapText="1"/>
      <protection/>
    </xf>
    <xf numFmtId="0" fontId="100" fillId="0" borderId="14" xfId="62" applyFont="1" applyBorder="1" applyAlignment="1">
      <alignment horizontal="center" vertical="center" wrapText="1"/>
      <protection/>
    </xf>
    <xf numFmtId="0" fontId="100" fillId="0" borderId="16" xfId="62" applyFont="1" applyBorder="1" applyAlignment="1">
      <alignment horizontal="center" vertical="center" wrapText="1"/>
      <protection/>
    </xf>
    <xf numFmtId="0" fontId="1" fillId="32" borderId="2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172" fontId="100" fillId="32" borderId="11" xfId="62" applyNumberFormat="1" applyFont="1" applyFill="1" applyBorder="1" applyAlignment="1">
      <alignment horizontal="center" vertical="center" wrapText="1"/>
      <protection/>
    </xf>
    <xf numFmtId="172" fontId="100" fillId="32" borderId="15" xfId="62" applyNumberFormat="1" applyFont="1" applyFill="1" applyBorder="1" applyAlignment="1">
      <alignment horizontal="center" vertical="center" wrapText="1"/>
      <protection/>
    </xf>
    <xf numFmtId="0" fontId="100" fillId="32" borderId="11" xfId="62" applyFont="1" applyFill="1" applyBorder="1" applyAlignment="1">
      <alignment horizontal="center" vertical="center" wrapText="1"/>
      <protection/>
    </xf>
    <xf numFmtId="0" fontId="100" fillId="32" borderId="15" xfId="62" applyFont="1" applyFill="1" applyBorder="1" applyAlignment="1">
      <alignment horizontal="center" vertical="center" wrapText="1"/>
      <protection/>
    </xf>
    <xf numFmtId="0" fontId="100" fillId="35" borderId="22" xfId="62" applyFont="1" applyFill="1" applyBorder="1" applyAlignment="1">
      <alignment horizontal="center" vertical="center" wrapText="1"/>
      <protection/>
    </xf>
    <xf numFmtId="0" fontId="100" fillId="35" borderId="13" xfId="62" applyFont="1" applyFill="1" applyBorder="1" applyAlignment="1">
      <alignment horizontal="center" vertical="center" wrapText="1"/>
      <protection/>
    </xf>
    <xf numFmtId="0" fontId="100" fillId="35" borderId="12" xfId="62" applyFont="1" applyFill="1" applyBorder="1" applyAlignment="1">
      <alignment horizontal="center" vertical="center" wrapText="1"/>
      <protection/>
    </xf>
    <xf numFmtId="172" fontId="99" fillId="0" borderId="11" xfId="0" applyNumberFormat="1" applyFont="1" applyFill="1" applyBorder="1" applyAlignment="1">
      <alignment horizontal="center" vertical="center" wrapText="1"/>
    </xf>
    <xf numFmtId="172" fontId="99" fillId="0" borderId="15" xfId="0" applyNumberFormat="1" applyFont="1" applyFill="1" applyBorder="1" applyAlignment="1">
      <alignment horizontal="center" vertical="center" wrapText="1"/>
    </xf>
    <xf numFmtId="172" fontId="99" fillId="0" borderId="17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6" xfId="61"/>
    <cellStyle name="Normal 4" xfId="62"/>
    <cellStyle name="Normal_PA trinh dat NN và mộ theo 86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P159"/>
  <sheetViews>
    <sheetView zoomScale="62" zoomScaleNormal="62" zoomScaleSheetLayoutView="70" zoomScalePageLayoutView="0" workbookViewId="0" topLeftCell="A1">
      <pane ySplit="7" topLeftCell="A35" activePane="bottomLeft" state="frozen"/>
      <selection pane="topLeft" activeCell="A1" sqref="A1"/>
      <selection pane="bottomLeft" activeCell="P36" sqref="P36"/>
    </sheetView>
  </sheetViews>
  <sheetFormatPr defaultColWidth="9.140625" defaultRowHeight="12.75"/>
  <cols>
    <col min="1" max="1" width="12.7109375" style="23" bestFit="1" customWidth="1"/>
    <col min="2" max="2" width="41.57421875" style="24" customWidth="1"/>
    <col min="3" max="3" width="8.28125" style="2" customWidth="1"/>
    <col min="4" max="4" width="8.57421875" style="2" customWidth="1"/>
    <col min="5" max="5" width="12.7109375" style="2" customWidth="1"/>
    <col min="6" max="7" width="12.7109375" style="27" hidden="1" customWidth="1"/>
    <col min="8" max="8" width="12.7109375" style="2" hidden="1" customWidth="1"/>
    <col min="9" max="9" width="10.28125" style="2" customWidth="1"/>
    <col min="10" max="10" width="11.28125" style="2" customWidth="1"/>
    <col min="11" max="11" width="13.57421875" style="2" customWidth="1"/>
    <col min="12" max="12" width="11.28125" style="2" customWidth="1"/>
    <col min="13" max="13" width="15.140625" style="25" customWidth="1"/>
    <col min="14" max="14" width="12.00390625" style="2" customWidth="1"/>
    <col min="15" max="15" width="14.28125" style="2" hidden="1" customWidth="1"/>
    <col min="16" max="16" width="53.28125" style="2" customWidth="1"/>
    <col min="17" max="16384" width="9.140625" style="2" customWidth="1"/>
  </cols>
  <sheetData>
    <row r="1" spans="1:16" ht="23.25" customHeight="1">
      <c r="A1" s="844" t="s">
        <v>89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</row>
    <row r="2" spans="1:16" ht="23.25" customHeight="1">
      <c r="A2" s="844" t="s">
        <v>99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</row>
    <row r="3" spans="1:16" ht="50.25" customHeight="1">
      <c r="A3" s="844" t="s">
        <v>33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</row>
    <row r="4" spans="1:16" ht="24.75" customHeight="1" hidden="1">
      <c r="A4" s="845" t="s">
        <v>26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</row>
    <row r="5" spans="1:16" ht="30" customHeight="1" hidden="1">
      <c r="A5" s="49"/>
      <c r="B5" s="50">
        <v>100</v>
      </c>
      <c r="C5" s="48"/>
      <c r="D5" s="48"/>
      <c r="E5" s="51" t="s">
        <v>31</v>
      </c>
      <c r="F5" s="52"/>
      <c r="G5" s="52"/>
      <c r="H5" s="51"/>
      <c r="I5" s="49"/>
      <c r="J5" s="48"/>
      <c r="K5" s="48"/>
      <c r="L5" s="48"/>
      <c r="M5" s="53"/>
      <c r="N5" s="54"/>
      <c r="O5" s="48"/>
      <c r="P5" s="53"/>
    </row>
    <row r="6" spans="1:16" ht="59.25" customHeight="1">
      <c r="A6" s="846" t="s">
        <v>2</v>
      </c>
      <c r="B6" s="848" t="s">
        <v>8</v>
      </c>
      <c r="C6" s="850" t="s">
        <v>27</v>
      </c>
      <c r="D6" s="851"/>
      <c r="E6" s="852"/>
      <c r="F6" s="850" t="s">
        <v>73</v>
      </c>
      <c r="G6" s="851"/>
      <c r="H6" s="852"/>
      <c r="I6" s="846" t="s">
        <v>18</v>
      </c>
      <c r="J6" s="846" t="s">
        <v>9</v>
      </c>
      <c r="K6" s="850" t="s">
        <v>5</v>
      </c>
      <c r="L6" s="852"/>
      <c r="M6" s="846" t="s">
        <v>14</v>
      </c>
      <c r="N6" s="862" t="s">
        <v>15</v>
      </c>
      <c r="O6" s="846" t="s">
        <v>6</v>
      </c>
      <c r="P6" s="846" t="s">
        <v>7</v>
      </c>
    </row>
    <row r="7" spans="1:16" ht="183" customHeight="1">
      <c r="A7" s="847"/>
      <c r="B7" s="849"/>
      <c r="C7" s="55" t="s">
        <v>1</v>
      </c>
      <c r="D7" s="55" t="s">
        <v>3</v>
      </c>
      <c r="E7" s="57" t="s">
        <v>4</v>
      </c>
      <c r="F7" s="58" t="s">
        <v>1</v>
      </c>
      <c r="G7" s="58" t="s">
        <v>3</v>
      </c>
      <c r="H7" s="57" t="s">
        <v>4</v>
      </c>
      <c r="I7" s="847"/>
      <c r="J7" s="847"/>
      <c r="K7" s="59" t="s">
        <v>46</v>
      </c>
      <c r="L7" s="59" t="s">
        <v>47</v>
      </c>
      <c r="M7" s="847"/>
      <c r="N7" s="863"/>
      <c r="O7" s="847"/>
      <c r="P7" s="847"/>
    </row>
    <row r="8" spans="1:16" ht="22.5" customHeight="1">
      <c r="A8" s="60">
        <v>1</v>
      </c>
      <c r="B8" s="61">
        <v>2</v>
      </c>
      <c r="C8" s="60">
        <v>3</v>
      </c>
      <c r="D8" s="60">
        <v>4</v>
      </c>
      <c r="E8" s="60">
        <v>5</v>
      </c>
      <c r="F8" s="62"/>
      <c r="G8" s="62"/>
      <c r="H8" s="60"/>
      <c r="I8" s="60">
        <v>6</v>
      </c>
      <c r="J8" s="60">
        <v>7</v>
      </c>
      <c r="K8" s="60">
        <v>9</v>
      </c>
      <c r="L8" s="60">
        <v>10</v>
      </c>
      <c r="M8" s="60">
        <v>11</v>
      </c>
      <c r="N8" s="60">
        <v>12</v>
      </c>
      <c r="O8" s="60">
        <v>13</v>
      </c>
      <c r="P8" s="60">
        <v>29</v>
      </c>
    </row>
    <row r="9" spans="1:16" ht="57.75" customHeight="1">
      <c r="A9" s="860"/>
      <c r="B9" s="861"/>
      <c r="C9" s="60"/>
      <c r="D9" s="60"/>
      <c r="E9" s="60"/>
      <c r="F9" s="62"/>
      <c r="G9" s="62"/>
      <c r="H9" s="60"/>
      <c r="I9" s="60"/>
      <c r="J9" s="60"/>
      <c r="K9" s="33" t="e">
        <f>K10+K12+K43+#REF!</f>
        <v>#REF!</v>
      </c>
      <c r="L9" s="33" t="e">
        <f>L10+L12+L43+#REF!</f>
        <v>#REF!</v>
      </c>
      <c r="M9" s="33" t="e">
        <f>M10+M12+M43+#REF!</f>
        <v>#REF!</v>
      </c>
      <c r="N9" s="33" t="e">
        <f>N10+N12+N43+#REF!</f>
        <v>#REF!</v>
      </c>
      <c r="O9" s="33" t="e">
        <f>O10+O12+O43+#REF!</f>
        <v>#REF!</v>
      </c>
      <c r="P9" s="63"/>
    </row>
    <row r="10" spans="1:16" s="17" customFormat="1" ht="47.25" customHeight="1">
      <c r="A10" s="30" t="s">
        <v>89</v>
      </c>
      <c r="B10" s="56" t="s">
        <v>88</v>
      </c>
      <c r="C10" s="30"/>
      <c r="D10" s="30"/>
      <c r="E10" s="64"/>
      <c r="F10" s="34"/>
      <c r="G10" s="34"/>
      <c r="H10" s="64"/>
      <c r="I10" s="30"/>
      <c r="J10" s="33"/>
      <c r="K10" s="33"/>
      <c r="L10" s="33"/>
      <c r="M10" s="33"/>
      <c r="N10" s="33"/>
      <c r="O10" s="33"/>
      <c r="P10" s="65"/>
    </row>
    <row r="11" spans="1:16" s="35" customFormat="1" ht="63.75" customHeight="1">
      <c r="A11" s="36">
        <v>1</v>
      </c>
      <c r="B11" s="47" t="s">
        <v>40</v>
      </c>
      <c r="C11" s="37">
        <v>81</v>
      </c>
      <c r="D11" s="37">
        <v>1</v>
      </c>
      <c r="E11" s="37">
        <v>159.4</v>
      </c>
      <c r="F11" s="38"/>
      <c r="G11" s="38"/>
      <c r="H11" s="37"/>
      <c r="I11" s="30" t="s">
        <v>0</v>
      </c>
      <c r="J11" s="32" t="s">
        <v>32</v>
      </c>
      <c r="K11" s="44">
        <f>E11</f>
        <v>159.4</v>
      </c>
      <c r="L11" s="37"/>
      <c r="M11" s="37">
        <f>K11+L11</f>
        <v>159.4</v>
      </c>
      <c r="N11" s="40"/>
      <c r="O11" s="37"/>
      <c r="P11" s="30" t="s">
        <v>87</v>
      </c>
    </row>
    <row r="12" spans="1:16" s="43" customFormat="1" ht="63.75" customHeight="1">
      <c r="A12" s="66"/>
      <c r="B12" s="56" t="s">
        <v>41</v>
      </c>
      <c r="C12" s="66"/>
      <c r="D12" s="66"/>
      <c r="E12" s="67"/>
      <c r="F12" s="68"/>
      <c r="G12" s="68"/>
      <c r="H12" s="67"/>
      <c r="I12" s="66"/>
      <c r="J12" s="69"/>
      <c r="K12" s="69">
        <f>SUM(K13:K42)</f>
        <v>6396.199999999999</v>
      </c>
      <c r="L12" s="69">
        <f>SUM(L13:L42)</f>
        <v>0</v>
      </c>
      <c r="M12" s="69">
        <f>SUM(M13:M42)</f>
        <v>6396.199999999999</v>
      </c>
      <c r="N12" s="69">
        <f>SUM(N13:N42)</f>
        <v>6396.2</v>
      </c>
      <c r="O12" s="69">
        <f>SUM(O13:O42)</f>
        <v>-683.3</v>
      </c>
      <c r="P12" s="70"/>
    </row>
    <row r="13" spans="1:16" s="43" customFormat="1" ht="63.75" customHeight="1">
      <c r="A13" s="30">
        <v>1</v>
      </c>
      <c r="B13" s="71" t="s">
        <v>77</v>
      </c>
      <c r="C13" s="37">
        <v>81</v>
      </c>
      <c r="D13" s="37">
        <v>63</v>
      </c>
      <c r="E13" s="37">
        <v>83.9</v>
      </c>
      <c r="F13" s="38"/>
      <c r="G13" s="38"/>
      <c r="H13" s="37"/>
      <c r="I13" s="30" t="s">
        <v>0</v>
      </c>
      <c r="J13" s="32" t="s">
        <v>37</v>
      </c>
      <c r="K13" s="33">
        <f>E13</f>
        <v>83.9</v>
      </c>
      <c r="L13" s="33"/>
      <c r="M13" s="33">
        <f>K13+L13</f>
        <v>83.9</v>
      </c>
      <c r="N13" s="72">
        <f>M13+M14</f>
        <v>226.1</v>
      </c>
      <c r="O13" s="33"/>
      <c r="P13" s="858" t="s">
        <v>91</v>
      </c>
    </row>
    <row r="14" spans="1:16" s="43" customFormat="1" ht="63.75" customHeight="1">
      <c r="A14" s="30">
        <v>1</v>
      </c>
      <c r="B14" s="71" t="s">
        <v>77</v>
      </c>
      <c r="C14" s="37">
        <v>82</v>
      </c>
      <c r="D14" s="37">
        <v>27</v>
      </c>
      <c r="E14" s="37">
        <v>142.2</v>
      </c>
      <c r="F14" s="38"/>
      <c r="G14" s="38"/>
      <c r="H14" s="37"/>
      <c r="I14" s="30" t="s">
        <v>0</v>
      </c>
      <c r="J14" s="32" t="s">
        <v>37</v>
      </c>
      <c r="K14" s="33">
        <f>E14</f>
        <v>142.2</v>
      </c>
      <c r="L14" s="33"/>
      <c r="M14" s="33">
        <f>K14+L14</f>
        <v>142.2</v>
      </c>
      <c r="N14" s="73"/>
      <c r="O14" s="33"/>
      <c r="P14" s="859"/>
    </row>
    <row r="15" spans="1:16" s="43" customFormat="1" ht="63.75" customHeight="1">
      <c r="A15" s="30">
        <v>2</v>
      </c>
      <c r="B15" s="75" t="s">
        <v>74</v>
      </c>
      <c r="C15" s="37">
        <v>82</v>
      </c>
      <c r="D15" s="37">
        <v>120</v>
      </c>
      <c r="E15" s="37">
        <v>192.5</v>
      </c>
      <c r="F15" s="38">
        <v>4</v>
      </c>
      <c r="G15" s="38">
        <v>160</v>
      </c>
      <c r="H15" s="37">
        <v>216</v>
      </c>
      <c r="I15" s="30" t="s">
        <v>0</v>
      </c>
      <c r="J15" s="32" t="s">
        <v>68</v>
      </c>
      <c r="K15" s="33">
        <f>E15</f>
        <v>192.5</v>
      </c>
      <c r="L15" s="33"/>
      <c r="M15" s="33">
        <f>K15+L15</f>
        <v>192.5</v>
      </c>
      <c r="N15" s="72">
        <f>M15+M16</f>
        <v>459.2</v>
      </c>
      <c r="O15" s="33"/>
      <c r="P15" s="30" t="s">
        <v>90</v>
      </c>
    </row>
    <row r="16" spans="1:16" s="43" customFormat="1" ht="63.75" customHeight="1">
      <c r="A16" s="30">
        <v>2</v>
      </c>
      <c r="B16" s="75" t="s">
        <v>74</v>
      </c>
      <c r="C16" s="37">
        <v>72</v>
      </c>
      <c r="D16" s="37">
        <v>176</v>
      </c>
      <c r="E16" s="37">
        <v>266.7</v>
      </c>
      <c r="F16" s="38">
        <v>4</v>
      </c>
      <c r="G16" s="38">
        <v>178</v>
      </c>
      <c r="H16" s="37">
        <v>288</v>
      </c>
      <c r="I16" s="30" t="s">
        <v>45</v>
      </c>
      <c r="J16" s="32" t="s">
        <v>76</v>
      </c>
      <c r="K16" s="33">
        <f>E16</f>
        <v>266.7</v>
      </c>
      <c r="L16" s="33"/>
      <c r="M16" s="33">
        <f>K16+L16</f>
        <v>266.7</v>
      </c>
      <c r="N16" s="73"/>
      <c r="O16" s="33"/>
      <c r="P16" s="30"/>
    </row>
    <row r="17" spans="1:16" s="42" customFormat="1" ht="63.75" customHeight="1">
      <c r="A17" s="37">
        <v>3</v>
      </c>
      <c r="B17" s="75" t="s">
        <v>42</v>
      </c>
      <c r="C17" s="37">
        <v>72</v>
      </c>
      <c r="D17" s="37">
        <v>50</v>
      </c>
      <c r="E17" s="44">
        <v>311</v>
      </c>
      <c r="F17" s="38"/>
      <c r="G17" s="38"/>
      <c r="H17" s="44"/>
      <c r="I17" s="30" t="s">
        <v>0</v>
      </c>
      <c r="J17" s="76" t="s">
        <v>43</v>
      </c>
      <c r="K17" s="33">
        <v>311</v>
      </c>
      <c r="L17" s="37"/>
      <c r="M17" s="33">
        <f aca="true" t="shared" si="0" ref="M17:M41">K17+L17</f>
        <v>311</v>
      </c>
      <c r="N17" s="72">
        <f>SUM(M17:M18)</f>
        <v>457.9</v>
      </c>
      <c r="O17" s="33"/>
      <c r="P17" s="77"/>
    </row>
    <row r="18" spans="1:16" s="43" customFormat="1" ht="63.75" customHeight="1">
      <c r="A18" s="37">
        <v>3</v>
      </c>
      <c r="B18" s="75" t="s">
        <v>42</v>
      </c>
      <c r="C18" s="37">
        <v>72</v>
      </c>
      <c r="D18" s="37">
        <v>168</v>
      </c>
      <c r="E18" s="37">
        <v>146.9</v>
      </c>
      <c r="F18" s="38"/>
      <c r="G18" s="38"/>
      <c r="H18" s="37"/>
      <c r="I18" s="37" t="s">
        <v>45</v>
      </c>
      <c r="J18" s="32" t="s">
        <v>44</v>
      </c>
      <c r="K18" s="33">
        <v>146.9</v>
      </c>
      <c r="L18" s="37"/>
      <c r="M18" s="33">
        <f t="shared" si="0"/>
        <v>146.9</v>
      </c>
      <c r="N18" s="78"/>
      <c r="O18" s="33"/>
      <c r="P18" s="79" t="s">
        <v>92</v>
      </c>
    </row>
    <row r="19" spans="1:16" s="43" customFormat="1" ht="63.75" customHeight="1">
      <c r="A19" s="37">
        <v>4</v>
      </c>
      <c r="B19" s="80" t="s">
        <v>49</v>
      </c>
      <c r="C19" s="81">
        <v>72</v>
      </c>
      <c r="D19" s="81">
        <v>96</v>
      </c>
      <c r="E19" s="44">
        <v>65.3</v>
      </c>
      <c r="F19" s="38"/>
      <c r="G19" s="38"/>
      <c r="H19" s="44"/>
      <c r="I19" s="82" t="s">
        <v>45</v>
      </c>
      <c r="J19" s="32" t="s">
        <v>44</v>
      </c>
      <c r="K19" s="33">
        <v>65.3</v>
      </c>
      <c r="L19" s="44"/>
      <c r="M19" s="33">
        <f t="shared" si="0"/>
        <v>65.3</v>
      </c>
      <c r="N19" s="72">
        <f>SUM(M19:M25)</f>
        <v>903.1999999999999</v>
      </c>
      <c r="O19" s="77"/>
      <c r="P19" s="79" t="s">
        <v>72</v>
      </c>
    </row>
    <row r="20" spans="1:16" s="21" customFormat="1" ht="63.75" customHeight="1">
      <c r="A20" s="37">
        <v>4</v>
      </c>
      <c r="B20" s="80" t="s">
        <v>49</v>
      </c>
      <c r="C20" s="81">
        <v>72</v>
      </c>
      <c r="D20" s="81">
        <v>94</v>
      </c>
      <c r="E20" s="44">
        <v>142.2</v>
      </c>
      <c r="F20" s="38"/>
      <c r="G20" s="38"/>
      <c r="H20" s="44"/>
      <c r="I20" s="82" t="s">
        <v>45</v>
      </c>
      <c r="J20" s="76" t="s">
        <v>44</v>
      </c>
      <c r="K20" s="33">
        <v>142.2</v>
      </c>
      <c r="L20" s="44"/>
      <c r="M20" s="33">
        <f t="shared" si="0"/>
        <v>142.2</v>
      </c>
      <c r="N20" s="78"/>
      <c r="O20" s="77"/>
      <c r="P20" s="77"/>
    </row>
    <row r="21" spans="1:16" s="28" customFormat="1" ht="63.75" customHeight="1">
      <c r="A21" s="37">
        <v>4</v>
      </c>
      <c r="B21" s="80" t="s">
        <v>49</v>
      </c>
      <c r="C21" s="81">
        <v>72</v>
      </c>
      <c r="D21" s="81">
        <v>97</v>
      </c>
      <c r="E21" s="44">
        <v>32.9</v>
      </c>
      <c r="F21" s="38"/>
      <c r="G21" s="38"/>
      <c r="H21" s="44"/>
      <c r="I21" s="82" t="s">
        <v>45</v>
      </c>
      <c r="J21" s="32" t="s">
        <v>44</v>
      </c>
      <c r="K21" s="33">
        <v>32.9</v>
      </c>
      <c r="L21" s="44"/>
      <c r="M21" s="33">
        <f t="shared" si="0"/>
        <v>32.9</v>
      </c>
      <c r="N21" s="78"/>
      <c r="O21" s="77"/>
      <c r="P21" s="77"/>
    </row>
    <row r="22" spans="1:16" s="28" customFormat="1" ht="63.75" customHeight="1">
      <c r="A22" s="37">
        <v>4</v>
      </c>
      <c r="B22" s="80" t="s">
        <v>49</v>
      </c>
      <c r="C22" s="81">
        <v>72</v>
      </c>
      <c r="D22" s="81">
        <v>95</v>
      </c>
      <c r="E22" s="44">
        <v>66.4</v>
      </c>
      <c r="F22" s="38"/>
      <c r="G22" s="38"/>
      <c r="H22" s="44"/>
      <c r="I22" s="82" t="s">
        <v>45</v>
      </c>
      <c r="J22" s="76" t="s">
        <v>44</v>
      </c>
      <c r="K22" s="33">
        <v>66.4</v>
      </c>
      <c r="L22" s="44"/>
      <c r="M22" s="33">
        <f t="shared" si="0"/>
        <v>66.4</v>
      </c>
      <c r="N22" s="78"/>
      <c r="O22" s="77"/>
      <c r="P22" s="77"/>
    </row>
    <row r="23" spans="1:16" s="28" customFormat="1" ht="63.75" customHeight="1">
      <c r="A23" s="37">
        <v>4</v>
      </c>
      <c r="B23" s="80" t="s">
        <v>49</v>
      </c>
      <c r="C23" s="81">
        <v>71</v>
      </c>
      <c r="D23" s="81">
        <v>115</v>
      </c>
      <c r="E23" s="44">
        <v>198.6</v>
      </c>
      <c r="F23" s="38"/>
      <c r="G23" s="38"/>
      <c r="H23" s="44"/>
      <c r="I23" s="82" t="s">
        <v>45</v>
      </c>
      <c r="J23" s="32" t="s">
        <v>32</v>
      </c>
      <c r="K23" s="33">
        <v>198.6</v>
      </c>
      <c r="L23" s="44"/>
      <c r="M23" s="33">
        <f t="shared" si="0"/>
        <v>198.6</v>
      </c>
      <c r="N23" s="78"/>
      <c r="O23" s="77"/>
      <c r="P23" s="77"/>
    </row>
    <row r="24" spans="1:16" s="28" customFormat="1" ht="63.75" customHeight="1">
      <c r="A24" s="37">
        <v>4</v>
      </c>
      <c r="B24" s="80" t="s">
        <v>49</v>
      </c>
      <c r="C24" s="81">
        <v>71</v>
      </c>
      <c r="D24" s="81">
        <v>50</v>
      </c>
      <c r="E24" s="44">
        <v>339.5</v>
      </c>
      <c r="F24" s="38"/>
      <c r="G24" s="38"/>
      <c r="H24" s="44"/>
      <c r="I24" s="82" t="s">
        <v>0</v>
      </c>
      <c r="J24" s="76" t="s">
        <v>32</v>
      </c>
      <c r="K24" s="33">
        <v>339.5</v>
      </c>
      <c r="L24" s="44"/>
      <c r="M24" s="33">
        <f t="shared" si="0"/>
        <v>339.5</v>
      </c>
      <c r="N24" s="78"/>
      <c r="O24" s="77"/>
      <c r="P24" s="77"/>
    </row>
    <row r="25" spans="1:16" s="26" customFormat="1" ht="63.75" customHeight="1">
      <c r="A25" s="37">
        <v>4</v>
      </c>
      <c r="B25" s="80" t="s">
        <v>49</v>
      </c>
      <c r="C25" s="37">
        <v>71</v>
      </c>
      <c r="D25" s="37">
        <v>37</v>
      </c>
      <c r="E25" s="44">
        <v>58.3</v>
      </c>
      <c r="F25" s="38"/>
      <c r="G25" s="38"/>
      <c r="H25" s="44"/>
      <c r="I25" s="82" t="s">
        <v>0</v>
      </c>
      <c r="J25" s="32" t="s">
        <v>32</v>
      </c>
      <c r="K25" s="33">
        <v>58.3</v>
      </c>
      <c r="L25" s="44"/>
      <c r="M25" s="33">
        <f t="shared" si="0"/>
        <v>58.3</v>
      </c>
      <c r="N25" s="73"/>
      <c r="O25" s="77"/>
      <c r="P25" s="77"/>
    </row>
    <row r="26" spans="1:16" ht="63.75" customHeight="1">
      <c r="A26" s="37">
        <v>5</v>
      </c>
      <c r="B26" s="71" t="s">
        <v>50</v>
      </c>
      <c r="C26" s="81">
        <v>82</v>
      </c>
      <c r="D26" s="81">
        <v>119</v>
      </c>
      <c r="E26" s="44">
        <v>111.9</v>
      </c>
      <c r="F26" s="38"/>
      <c r="G26" s="38"/>
      <c r="H26" s="44"/>
      <c r="I26" s="82" t="s">
        <v>0</v>
      </c>
      <c r="J26" s="32" t="s">
        <v>43</v>
      </c>
      <c r="K26" s="33">
        <f>E26</f>
        <v>111.9</v>
      </c>
      <c r="L26" s="44"/>
      <c r="M26" s="33">
        <f t="shared" si="0"/>
        <v>111.9</v>
      </c>
      <c r="N26" s="83">
        <f>M26+M27</f>
        <v>234.9</v>
      </c>
      <c r="O26" s="84">
        <f>L26-N26</f>
        <v>-234.9</v>
      </c>
      <c r="P26" s="79" t="s">
        <v>93</v>
      </c>
    </row>
    <row r="27" spans="1:16" ht="63.75" customHeight="1">
      <c r="A27" s="37">
        <v>5</v>
      </c>
      <c r="B27" s="71" t="s">
        <v>50</v>
      </c>
      <c r="C27" s="37">
        <v>82</v>
      </c>
      <c r="D27" s="37">
        <v>5</v>
      </c>
      <c r="E27" s="37">
        <v>123</v>
      </c>
      <c r="F27" s="38"/>
      <c r="G27" s="38"/>
      <c r="H27" s="37"/>
      <c r="I27" s="82" t="s">
        <v>0</v>
      </c>
      <c r="J27" s="30" t="s">
        <v>44</v>
      </c>
      <c r="K27" s="33">
        <v>123</v>
      </c>
      <c r="L27" s="44"/>
      <c r="M27" s="33">
        <f t="shared" si="0"/>
        <v>123</v>
      </c>
      <c r="N27" s="85"/>
      <c r="O27" s="84">
        <f>L27-N27</f>
        <v>0</v>
      </c>
      <c r="P27" s="79" t="s">
        <v>94</v>
      </c>
    </row>
    <row r="28" spans="1:16" ht="63.75" customHeight="1">
      <c r="A28" s="37">
        <v>5</v>
      </c>
      <c r="B28" s="71" t="s">
        <v>50</v>
      </c>
      <c r="C28" s="37">
        <v>82</v>
      </c>
      <c r="D28" s="37">
        <v>60</v>
      </c>
      <c r="E28" s="37">
        <v>675.9</v>
      </c>
      <c r="F28" s="38"/>
      <c r="G28" s="38"/>
      <c r="H28" s="37"/>
      <c r="I28" s="82" t="s">
        <v>81</v>
      </c>
      <c r="J28" s="30" t="s">
        <v>44</v>
      </c>
      <c r="K28" s="33">
        <v>100.1</v>
      </c>
      <c r="L28" s="44"/>
      <c r="M28" s="33">
        <f t="shared" si="0"/>
        <v>100.1</v>
      </c>
      <c r="N28" s="85">
        <f>M28</f>
        <v>100.1</v>
      </c>
      <c r="O28" s="84"/>
      <c r="P28" s="79" t="s">
        <v>95</v>
      </c>
    </row>
    <row r="29" spans="1:16" ht="63.75" customHeight="1">
      <c r="A29" s="37">
        <v>6</v>
      </c>
      <c r="B29" s="75" t="s">
        <v>51</v>
      </c>
      <c r="C29" s="37">
        <v>72</v>
      </c>
      <c r="D29" s="37">
        <v>161</v>
      </c>
      <c r="E29" s="37">
        <v>140.2</v>
      </c>
      <c r="F29" s="38"/>
      <c r="G29" s="38"/>
      <c r="H29" s="37"/>
      <c r="I29" s="37" t="s">
        <v>45</v>
      </c>
      <c r="J29" s="32" t="s">
        <v>44</v>
      </c>
      <c r="K29" s="33">
        <v>140.2</v>
      </c>
      <c r="L29" s="44"/>
      <c r="M29" s="33">
        <f t="shared" si="0"/>
        <v>140.2</v>
      </c>
      <c r="N29" s="86">
        <f>M29+M30</f>
        <v>448.4</v>
      </c>
      <c r="O29" s="84">
        <f>L29-N29</f>
        <v>-448.4</v>
      </c>
      <c r="P29" s="77" t="s">
        <v>97</v>
      </c>
    </row>
    <row r="30" spans="1:16" ht="63.75" customHeight="1">
      <c r="A30" s="37">
        <v>6</v>
      </c>
      <c r="B30" s="75" t="s">
        <v>51</v>
      </c>
      <c r="C30" s="37">
        <v>82</v>
      </c>
      <c r="D30" s="37">
        <v>88</v>
      </c>
      <c r="E30" s="37">
        <v>308.2</v>
      </c>
      <c r="F30" s="38"/>
      <c r="G30" s="38"/>
      <c r="H30" s="37"/>
      <c r="I30" s="37" t="s">
        <v>0</v>
      </c>
      <c r="J30" s="30" t="s">
        <v>32</v>
      </c>
      <c r="K30" s="33">
        <f>E30</f>
        <v>308.2</v>
      </c>
      <c r="L30" s="44"/>
      <c r="M30" s="33">
        <f t="shared" si="0"/>
        <v>308.2</v>
      </c>
      <c r="N30" s="87"/>
      <c r="O30" s="84"/>
      <c r="P30" s="77"/>
    </row>
    <row r="31" spans="1:16" ht="63.75" customHeight="1">
      <c r="A31" s="37">
        <v>8</v>
      </c>
      <c r="B31" s="71" t="s">
        <v>52</v>
      </c>
      <c r="C31" s="37">
        <v>72</v>
      </c>
      <c r="D31" s="37">
        <v>258</v>
      </c>
      <c r="E31" s="37">
        <v>256.2</v>
      </c>
      <c r="F31" s="38"/>
      <c r="G31" s="38"/>
      <c r="H31" s="37"/>
      <c r="I31" s="37" t="s">
        <v>0</v>
      </c>
      <c r="J31" s="30" t="s">
        <v>32</v>
      </c>
      <c r="K31" s="33">
        <f>E31</f>
        <v>256.2</v>
      </c>
      <c r="L31" s="44"/>
      <c r="M31" s="33">
        <f t="shared" si="0"/>
        <v>256.2</v>
      </c>
      <c r="N31" s="66">
        <f>M31+M32+M33</f>
        <v>775.9</v>
      </c>
      <c r="O31" s="88"/>
      <c r="P31" s="100" t="s">
        <v>100</v>
      </c>
    </row>
    <row r="32" spans="1:16" ht="63.75" customHeight="1">
      <c r="A32" s="37">
        <v>8</v>
      </c>
      <c r="B32" s="71" t="s">
        <v>52</v>
      </c>
      <c r="C32" s="37">
        <v>81</v>
      </c>
      <c r="D32" s="37">
        <v>68</v>
      </c>
      <c r="E32" s="37">
        <v>65.2</v>
      </c>
      <c r="F32" s="38"/>
      <c r="G32" s="38"/>
      <c r="H32" s="37"/>
      <c r="I32" s="37" t="s">
        <v>0</v>
      </c>
      <c r="J32" s="30" t="s">
        <v>37</v>
      </c>
      <c r="K32" s="33">
        <f>E32</f>
        <v>65.2</v>
      </c>
      <c r="L32" s="44"/>
      <c r="M32" s="33">
        <f t="shared" si="0"/>
        <v>65.2</v>
      </c>
      <c r="N32" s="89"/>
      <c r="O32" s="37"/>
      <c r="P32" s="37"/>
    </row>
    <row r="33" spans="1:16" s="22" customFormat="1" ht="63.75" customHeight="1">
      <c r="A33" s="37">
        <v>8</v>
      </c>
      <c r="B33" s="71" t="s">
        <v>52</v>
      </c>
      <c r="C33" s="37">
        <v>82</v>
      </c>
      <c r="D33" s="37">
        <v>124</v>
      </c>
      <c r="E33" s="37">
        <v>454.5</v>
      </c>
      <c r="F33" s="38"/>
      <c r="G33" s="38"/>
      <c r="H33" s="37"/>
      <c r="I33" s="37" t="s">
        <v>0</v>
      </c>
      <c r="J33" s="30" t="s">
        <v>54</v>
      </c>
      <c r="K33" s="33">
        <f>E33</f>
        <v>454.5</v>
      </c>
      <c r="L33" s="44"/>
      <c r="M33" s="33">
        <f t="shared" si="0"/>
        <v>454.5</v>
      </c>
      <c r="N33" s="74"/>
      <c r="O33" s="37"/>
      <c r="P33" s="37"/>
    </row>
    <row r="34" spans="1:16" s="26" customFormat="1" ht="63.75" customHeight="1">
      <c r="A34" s="37">
        <v>10</v>
      </c>
      <c r="B34" s="80" t="s">
        <v>55</v>
      </c>
      <c r="C34" s="81">
        <v>61</v>
      </c>
      <c r="D34" s="81">
        <v>28</v>
      </c>
      <c r="E34" s="44">
        <v>225.1</v>
      </c>
      <c r="F34" s="38"/>
      <c r="G34" s="38"/>
      <c r="H34" s="44"/>
      <c r="I34" s="82" t="s">
        <v>0</v>
      </c>
      <c r="J34" s="76" t="s">
        <v>43</v>
      </c>
      <c r="K34" s="33">
        <v>225.1</v>
      </c>
      <c r="L34" s="44"/>
      <c r="M34" s="33">
        <f t="shared" si="0"/>
        <v>225.1</v>
      </c>
      <c r="N34" s="37">
        <f>M34</f>
        <v>225.1</v>
      </c>
      <c r="O34" s="37"/>
      <c r="P34" s="30" t="s">
        <v>106</v>
      </c>
    </row>
    <row r="35" spans="1:16" s="26" customFormat="1" ht="63.75" customHeight="1">
      <c r="A35" s="37">
        <v>11</v>
      </c>
      <c r="B35" s="75" t="s">
        <v>56</v>
      </c>
      <c r="C35" s="37">
        <v>72</v>
      </c>
      <c r="D35" s="37">
        <v>184</v>
      </c>
      <c r="E35" s="37">
        <v>122.8</v>
      </c>
      <c r="F35" s="38"/>
      <c r="G35" s="38"/>
      <c r="H35" s="37"/>
      <c r="I35" s="37" t="s">
        <v>45</v>
      </c>
      <c r="J35" s="76" t="s">
        <v>44</v>
      </c>
      <c r="K35" s="33">
        <v>122.8</v>
      </c>
      <c r="L35" s="44"/>
      <c r="M35" s="33">
        <f t="shared" si="0"/>
        <v>122.8</v>
      </c>
      <c r="N35" s="853">
        <f>M35+M36</f>
        <v>137.4</v>
      </c>
      <c r="O35" s="88"/>
      <c r="P35" s="88"/>
    </row>
    <row r="36" spans="1:16" s="26" customFormat="1" ht="63.75" customHeight="1">
      <c r="A36" s="37">
        <v>11</v>
      </c>
      <c r="B36" s="75" t="s">
        <v>56</v>
      </c>
      <c r="C36" s="37">
        <v>72</v>
      </c>
      <c r="D36" s="37">
        <v>104</v>
      </c>
      <c r="E36" s="37">
        <v>14.6</v>
      </c>
      <c r="F36" s="38"/>
      <c r="G36" s="38"/>
      <c r="H36" s="37"/>
      <c r="I36" s="37" t="s">
        <v>45</v>
      </c>
      <c r="J36" s="32" t="s">
        <v>44</v>
      </c>
      <c r="K36" s="33">
        <v>14.6</v>
      </c>
      <c r="L36" s="44"/>
      <c r="M36" s="33">
        <f t="shared" si="0"/>
        <v>14.6</v>
      </c>
      <c r="N36" s="854"/>
      <c r="O36" s="88"/>
      <c r="P36" s="100" t="s">
        <v>107</v>
      </c>
    </row>
    <row r="37" spans="1:16" ht="63.75" customHeight="1">
      <c r="A37" s="37">
        <v>12</v>
      </c>
      <c r="B37" s="75" t="s">
        <v>57</v>
      </c>
      <c r="C37" s="37">
        <v>71</v>
      </c>
      <c r="D37" s="37">
        <v>15</v>
      </c>
      <c r="E37" s="37">
        <v>133.5</v>
      </c>
      <c r="F37" s="38"/>
      <c r="G37" s="38"/>
      <c r="H37" s="37"/>
      <c r="I37" s="37" t="s">
        <v>45</v>
      </c>
      <c r="J37" s="76" t="s">
        <v>43</v>
      </c>
      <c r="K37" s="33">
        <v>133.5</v>
      </c>
      <c r="L37" s="44"/>
      <c r="M37" s="33">
        <f t="shared" si="0"/>
        <v>133.5</v>
      </c>
      <c r="N37" s="855">
        <f>SUM(M37:M41)</f>
        <v>2078</v>
      </c>
      <c r="O37" s="46"/>
      <c r="P37" s="88" t="s">
        <v>98</v>
      </c>
    </row>
    <row r="38" spans="1:16" s="26" customFormat="1" ht="63.75" customHeight="1">
      <c r="A38" s="37">
        <v>12</v>
      </c>
      <c r="B38" s="75" t="s">
        <v>57</v>
      </c>
      <c r="C38" s="37">
        <v>71</v>
      </c>
      <c r="D38" s="37">
        <v>58</v>
      </c>
      <c r="E38" s="37">
        <v>462.9</v>
      </c>
      <c r="F38" s="38"/>
      <c r="G38" s="38"/>
      <c r="H38" s="37"/>
      <c r="I38" s="37" t="s">
        <v>0</v>
      </c>
      <c r="J38" s="32" t="s">
        <v>32</v>
      </c>
      <c r="K38" s="33">
        <v>437</v>
      </c>
      <c r="L38" s="44"/>
      <c r="M38" s="33">
        <f t="shared" si="0"/>
        <v>437</v>
      </c>
      <c r="N38" s="856"/>
      <c r="O38" s="46"/>
      <c r="P38" s="88" t="s">
        <v>98</v>
      </c>
    </row>
    <row r="39" spans="1:16" s="29" customFormat="1" ht="63.75" customHeight="1">
      <c r="A39" s="37">
        <v>12</v>
      </c>
      <c r="B39" s="75" t="s">
        <v>57</v>
      </c>
      <c r="C39" s="37">
        <v>72</v>
      </c>
      <c r="D39" s="37">
        <v>159</v>
      </c>
      <c r="E39" s="37">
        <v>228.7</v>
      </c>
      <c r="F39" s="38"/>
      <c r="G39" s="38"/>
      <c r="H39" s="37"/>
      <c r="I39" s="37" t="s">
        <v>45</v>
      </c>
      <c r="J39" s="76" t="s">
        <v>44</v>
      </c>
      <c r="K39" s="33">
        <v>228.7</v>
      </c>
      <c r="L39" s="44"/>
      <c r="M39" s="33">
        <f t="shared" si="0"/>
        <v>228.7</v>
      </c>
      <c r="N39" s="856"/>
      <c r="O39" s="46"/>
      <c r="P39" s="88" t="s">
        <v>98</v>
      </c>
    </row>
    <row r="40" spans="1:16" ht="63.75" customHeight="1">
      <c r="A40" s="37">
        <v>12</v>
      </c>
      <c r="B40" s="90" t="s">
        <v>57</v>
      </c>
      <c r="C40" s="45">
        <v>72</v>
      </c>
      <c r="D40" s="45">
        <v>222</v>
      </c>
      <c r="E40" s="45">
        <v>273.5</v>
      </c>
      <c r="F40" s="91"/>
      <c r="G40" s="91"/>
      <c r="H40" s="45"/>
      <c r="I40" s="45" t="s">
        <v>0</v>
      </c>
      <c r="J40" s="92" t="s">
        <v>44</v>
      </c>
      <c r="K40" s="33">
        <v>273.5</v>
      </c>
      <c r="L40" s="44"/>
      <c r="M40" s="33">
        <f t="shared" si="0"/>
        <v>273.5</v>
      </c>
      <c r="N40" s="856"/>
      <c r="O40" s="46"/>
      <c r="P40" s="88" t="s">
        <v>98</v>
      </c>
    </row>
    <row r="41" spans="1:16" s="22" customFormat="1" ht="63.75" customHeight="1">
      <c r="A41" s="37">
        <v>12</v>
      </c>
      <c r="B41" s="75" t="s">
        <v>57</v>
      </c>
      <c r="C41" s="37">
        <v>81</v>
      </c>
      <c r="D41" s="37">
        <v>48</v>
      </c>
      <c r="E41" s="37">
        <v>1005.3</v>
      </c>
      <c r="F41" s="38"/>
      <c r="G41" s="38"/>
      <c r="H41" s="37"/>
      <c r="I41" s="37" t="s">
        <v>0</v>
      </c>
      <c r="J41" s="76" t="s">
        <v>37</v>
      </c>
      <c r="K41" s="33">
        <v>1005.3</v>
      </c>
      <c r="L41" s="44"/>
      <c r="M41" s="33">
        <f t="shared" si="0"/>
        <v>1005.3</v>
      </c>
      <c r="N41" s="857"/>
      <c r="O41" s="46"/>
      <c r="P41" s="88" t="s">
        <v>98</v>
      </c>
    </row>
    <row r="42" spans="1:16" s="26" customFormat="1" ht="63.75" customHeight="1">
      <c r="A42" s="37">
        <v>13</v>
      </c>
      <c r="B42" s="75" t="s">
        <v>36</v>
      </c>
      <c r="C42" s="37">
        <v>81</v>
      </c>
      <c r="D42" s="37">
        <v>53</v>
      </c>
      <c r="E42" s="37">
        <v>462.6</v>
      </c>
      <c r="F42" s="38"/>
      <c r="G42" s="38"/>
      <c r="H42" s="37"/>
      <c r="I42" s="30" t="s">
        <v>0</v>
      </c>
      <c r="J42" s="32" t="s">
        <v>32</v>
      </c>
      <c r="K42" s="39">
        <v>350</v>
      </c>
      <c r="L42" s="37"/>
      <c r="M42" s="39">
        <f>K42+L42</f>
        <v>350</v>
      </c>
      <c r="N42" s="41">
        <f>M42</f>
        <v>350</v>
      </c>
      <c r="O42" s="39"/>
      <c r="P42" s="88" t="s">
        <v>105</v>
      </c>
    </row>
    <row r="43" spans="1:16" ht="63.75" customHeight="1">
      <c r="A43" s="59"/>
      <c r="B43" s="93" t="s">
        <v>59</v>
      </c>
      <c r="C43" s="30"/>
      <c r="D43" s="30"/>
      <c r="E43" s="64"/>
      <c r="F43" s="34"/>
      <c r="G43" s="34"/>
      <c r="H43" s="64"/>
      <c r="I43" s="30"/>
      <c r="J43" s="33"/>
      <c r="K43" s="33">
        <f>SUM(K44:K47)</f>
        <v>586</v>
      </c>
      <c r="L43" s="33">
        <f>SUM(L44:L47)</f>
        <v>0</v>
      </c>
      <c r="M43" s="33">
        <f>SUM(M44:M47)</f>
        <v>586</v>
      </c>
      <c r="N43" s="33">
        <f>SUM(N44:N47)</f>
        <v>586</v>
      </c>
      <c r="O43" s="33">
        <f>SUM(O44:O47)</f>
        <v>0</v>
      </c>
      <c r="P43" s="30"/>
    </row>
    <row r="44" spans="1:16" ht="63.75" customHeight="1">
      <c r="A44" s="37">
        <v>1</v>
      </c>
      <c r="B44" s="94" t="s">
        <v>66</v>
      </c>
      <c r="C44" s="95">
        <v>71</v>
      </c>
      <c r="D44" s="95">
        <v>18</v>
      </c>
      <c r="E44" s="95">
        <v>126.1</v>
      </c>
      <c r="F44" s="31"/>
      <c r="G44" s="31"/>
      <c r="H44" s="95"/>
      <c r="I44" s="95" t="s">
        <v>45</v>
      </c>
      <c r="J44" s="96" t="s">
        <v>32</v>
      </c>
      <c r="K44" s="95">
        <v>126.1</v>
      </c>
      <c r="L44" s="95"/>
      <c r="M44" s="37">
        <f>K44</f>
        <v>126.1</v>
      </c>
      <c r="N44" s="86">
        <f>M44+M45+M46+M47</f>
        <v>586</v>
      </c>
      <c r="O44" s="97"/>
      <c r="P44" s="88"/>
    </row>
    <row r="45" spans="1:16" ht="63.75" customHeight="1">
      <c r="A45" s="37">
        <v>1</v>
      </c>
      <c r="B45" s="94" t="s">
        <v>66</v>
      </c>
      <c r="C45" s="95">
        <v>71</v>
      </c>
      <c r="D45" s="95">
        <v>25</v>
      </c>
      <c r="E45" s="95">
        <v>131.3</v>
      </c>
      <c r="F45" s="31"/>
      <c r="G45" s="31"/>
      <c r="H45" s="95"/>
      <c r="I45" s="95" t="s">
        <v>45</v>
      </c>
      <c r="J45" s="96" t="s">
        <v>32</v>
      </c>
      <c r="K45" s="95">
        <v>131.3</v>
      </c>
      <c r="L45" s="95"/>
      <c r="M45" s="37">
        <f>K45</f>
        <v>131.3</v>
      </c>
      <c r="N45" s="98"/>
      <c r="O45" s="99"/>
      <c r="P45" s="88"/>
    </row>
    <row r="46" spans="1:16" ht="63.75" customHeight="1">
      <c r="A46" s="37">
        <v>1</v>
      </c>
      <c r="B46" s="94" t="s">
        <v>66</v>
      </c>
      <c r="C46" s="95">
        <v>71</v>
      </c>
      <c r="D46" s="95">
        <v>114</v>
      </c>
      <c r="E46" s="95">
        <v>153.3</v>
      </c>
      <c r="F46" s="31"/>
      <c r="G46" s="31"/>
      <c r="H46" s="95"/>
      <c r="I46" s="95" t="s">
        <v>45</v>
      </c>
      <c r="J46" s="96" t="s">
        <v>32</v>
      </c>
      <c r="K46" s="95">
        <v>153.3</v>
      </c>
      <c r="L46" s="95"/>
      <c r="M46" s="37">
        <f>K46</f>
        <v>153.3</v>
      </c>
      <c r="N46" s="98"/>
      <c r="O46" s="97"/>
      <c r="P46" s="88"/>
    </row>
    <row r="47" spans="1:16" ht="63.75" customHeight="1">
      <c r="A47" s="37">
        <v>1</v>
      </c>
      <c r="B47" s="94" t="s">
        <v>66</v>
      </c>
      <c r="C47" s="95">
        <v>71</v>
      </c>
      <c r="D47" s="95">
        <v>118</v>
      </c>
      <c r="E47" s="95">
        <v>103.4</v>
      </c>
      <c r="F47" s="31"/>
      <c r="G47" s="31"/>
      <c r="H47" s="95"/>
      <c r="I47" s="95" t="s">
        <v>0</v>
      </c>
      <c r="J47" s="96" t="s">
        <v>32</v>
      </c>
      <c r="K47" s="95">
        <v>175.3</v>
      </c>
      <c r="L47" s="95"/>
      <c r="M47" s="37">
        <f>K47</f>
        <v>175.3</v>
      </c>
      <c r="N47" s="87"/>
      <c r="O47" s="99"/>
      <c r="P47" s="100" t="s">
        <v>96</v>
      </c>
    </row>
    <row r="48" ht="63.75" customHeight="1"/>
    <row r="49" spans="1:16" s="21" customFormat="1" ht="63.75" customHeight="1">
      <c r="A49" s="23"/>
      <c r="B49" s="24"/>
      <c r="C49" s="2"/>
      <c r="D49" s="2"/>
      <c r="E49" s="2"/>
      <c r="F49" s="27"/>
      <c r="G49" s="27"/>
      <c r="H49" s="2"/>
      <c r="I49" s="2"/>
      <c r="J49" s="2"/>
      <c r="K49" s="2"/>
      <c r="L49" s="2"/>
      <c r="M49" s="25"/>
      <c r="N49" s="2"/>
      <c r="O49" s="2"/>
      <c r="P49" s="2"/>
    </row>
    <row r="50" spans="1:16" s="26" customFormat="1" ht="63.75" customHeight="1">
      <c r="A50" s="23"/>
      <c r="B50" s="24"/>
      <c r="C50" s="2"/>
      <c r="D50" s="2"/>
      <c r="E50" s="2"/>
      <c r="F50" s="27"/>
      <c r="G50" s="27"/>
      <c r="H50" s="2"/>
      <c r="I50" s="2"/>
      <c r="J50" s="2"/>
      <c r="K50" s="2"/>
      <c r="L50" s="2"/>
      <c r="M50" s="25"/>
      <c r="N50" s="2"/>
      <c r="O50" s="2"/>
      <c r="P50" s="2"/>
    </row>
    <row r="51" ht="63.75" customHeight="1"/>
    <row r="52" ht="63.75" customHeight="1"/>
    <row r="53" ht="63.75" customHeight="1"/>
    <row r="54" ht="63.75" customHeight="1"/>
    <row r="55" ht="63.75" customHeight="1"/>
    <row r="56" spans="1:16" s="26" customFormat="1" ht="63.75" customHeight="1">
      <c r="A56" s="23"/>
      <c r="B56" s="24"/>
      <c r="C56" s="2"/>
      <c r="D56" s="2"/>
      <c r="E56" s="2"/>
      <c r="F56" s="27"/>
      <c r="G56" s="27"/>
      <c r="H56" s="2"/>
      <c r="I56" s="2"/>
      <c r="J56" s="2"/>
      <c r="K56" s="2"/>
      <c r="L56" s="2"/>
      <c r="M56" s="25"/>
      <c r="N56" s="2"/>
      <c r="O56" s="2"/>
      <c r="P56" s="2"/>
    </row>
    <row r="57" spans="1:16" s="26" customFormat="1" ht="63.75" customHeight="1">
      <c r="A57" s="23"/>
      <c r="B57" s="24"/>
      <c r="C57" s="2"/>
      <c r="D57" s="2"/>
      <c r="E57" s="2"/>
      <c r="F57" s="27"/>
      <c r="G57" s="27"/>
      <c r="H57" s="2"/>
      <c r="I57" s="2"/>
      <c r="J57" s="2"/>
      <c r="K57" s="2"/>
      <c r="L57" s="2"/>
      <c r="M57" s="25"/>
      <c r="N57" s="2"/>
      <c r="O57" s="2"/>
      <c r="P57" s="2"/>
    </row>
    <row r="58" spans="1:16" s="26" customFormat="1" ht="63.75" customHeight="1">
      <c r="A58" s="23"/>
      <c r="B58" s="24"/>
      <c r="C58" s="2"/>
      <c r="D58" s="2"/>
      <c r="E58" s="2"/>
      <c r="F58" s="27"/>
      <c r="G58" s="27"/>
      <c r="H58" s="2"/>
      <c r="I58" s="2"/>
      <c r="J58" s="2"/>
      <c r="K58" s="2"/>
      <c r="L58" s="2"/>
      <c r="M58" s="25"/>
      <c r="N58" s="2"/>
      <c r="O58" s="2"/>
      <c r="P58" s="2"/>
    </row>
    <row r="59" spans="1:16" s="26" customFormat="1" ht="63.75" customHeight="1">
      <c r="A59" s="23"/>
      <c r="B59" s="24"/>
      <c r="C59" s="2"/>
      <c r="D59" s="2"/>
      <c r="E59" s="2"/>
      <c r="F59" s="27"/>
      <c r="G59" s="27"/>
      <c r="H59" s="2"/>
      <c r="I59" s="2"/>
      <c r="J59" s="2"/>
      <c r="K59" s="2"/>
      <c r="L59" s="2"/>
      <c r="M59" s="25"/>
      <c r="N59" s="2"/>
      <c r="O59" s="2"/>
      <c r="P59" s="2"/>
    </row>
    <row r="60" spans="1:16" s="26" customFormat="1" ht="63.75" customHeight="1">
      <c r="A60" s="23"/>
      <c r="B60" s="24"/>
      <c r="C60" s="2"/>
      <c r="D60" s="2"/>
      <c r="E60" s="2"/>
      <c r="F60" s="27"/>
      <c r="G60" s="27"/>
      <c r="H60" s="2"/>
      <c r="I60" s="2"/>
      <c r="J60" s="2"/>
      <c r="K60" s="2"/>
      <c r="L60" s="2"/>
      <c r="M60" s="25"/>
      <c r="N60" s="2"/>
      <c r="O60" s="2"/>
      <c r="P60" s="2"/>
    </row>
    <row r="61" spans="1:16" s="21" customFormat="1" ht="63.75" customHeight="1">
      <c r="A61" s="23"/>
      <c r="B61" s="24"/>
      <c r="C61" s="2"/>
      <c r="D61" s="2"/>
      <c r="E61" s="2"/>
      <c r="F61" s="27"/>
      <c r="G61" s="27"/>
      <c r="H61" s="2"/>
      <c r="I61" s="2"/>
      <c r="J61" s="2"/>
      <c r="K61" s="2"/>
      <c r="L61" s="2"/>
      <c r="M61" s="25"/>
      <c r="N61" s="2"/>
      <c r="O61" s="2"/>
      <c r="P61" s="2"/>
    </row>
    <row r="62" ht="63.75" customHeight="1"/>
    <row r="63" ht="63.75" customHeight="1"/>
    <row r="64" ht="63.75" customHeight="1"/>
    <row r="66" ht="78" customHeight="1"/>
    <row r="67" ht="78" customHeight="1"/>
    <row r="68" ht="78" customHeight="1"/>
    <row r="69" ht="78" customHeight="1"/>
    <row r="70" ht="78" customHeight="1"/>
    <row r="71" spans="2:16" s="23" customFormat="1" ht="78" customHeight="1">
      <c r="B71" s="24"/>
      <c r="C71" s="2"/>
      <c r="D71" s="2"/>
      <c r="E71" s="2"/>
      <c r="F71" s="27"/>
      <c r="G71" s="27"/>
      <c r="H71" s="2"/>
      <c r="I71" s="2"/>
      <c r="J71" s="2"/>
      <c r="K71" s="2"/>
      <c r="L71" s="2"/>
      <c r="M71" s="25"/>
      <c r="N71" s="2"/>
      <c r="O71" s="2"/>
      <c r="P71" s="2"/>
    </row>
    <row r="72" spans="2:16" s="23" customFormat="1" ht="78" customHeight="1">
      <c r="B72" s="24"/>
      <c r="C72" s="2"/>
      <c r="D72" s="2"/>
      <c r="E72" s="2"/>
      <c r="F72" s="27"/>
      <c r="G72" s="27"/>
      <c r="H72" s="2"/>
      <c r="I72" s="2"/>
      <c r="J72" s="2"/>
      <c r="K72" s="2"/>
      <c r="L72" s="2"/>
      <c r="M72" s="25"/>
      <c r="N72" s="2"/>
      <c r="O72" s="2"/>
      <c r="P72" s="2"/>
    </row>
    <row r="73" spans="2:16" s="23" customFormat="1" ht="78" customHeight="1">
      <c r="B73" s="24"/>
      <c r="C73" s="2"/>
      <c r="D73" s="2"/>
      <c r="E73" s="2"/>
      <c r="F73" s="27"/>
      <c r="G73" s="27"/>
      <c r="H73" s="2"/>
      <c r="I73" s="2"/>
      <c r="J73" s="2"/>
      <c r="K73" s="2"/>
      <c r="L73" s="2"/>
      <c r="M73" s="25"/>
      <c r="N73" s="2"/>
      <c r="O73" s="2"/>
      <c r="P73" s="2"/>
    </row>
    <row r="74" spans="2:16" s="23" customFormat="1" ht="78" customHeight="1">
      <c r="B74" s="24"/>
      <c r="C74" s="2"/>
      <c r="D74" s="2"/>
      <c r="E74" s="2"/>
      <c r="F74" s="27"/>
      <c r="G74" s="27"/>
      <c r="H74" s="2"/>
      <c r="I74" s="2"/>
      <c r="J74" s="2"/>
      <c r="K74" s="2"/>
      <c r="L74" s="2"/>
      <c r="M74" s="25"/>
      <c r="N74" s="2"/>
      <c r="O74" s="2"/>
      <c r="P74" s="2"/>
    </row>
    <row r="75" spans="2:16" s="23" customFormat="1" ht="78" customHeight="1">
      <c r="B75" s="24"/>
      <c r="C75" s="2"/>
      <c r="D75" s="2"/>
      <c r="E75" s="2"/>
      <c r="F75" s="27"/>
      <c r="G75" s="27"/>
      <c r="H75" s="2"/>
      <c r="I75" s="2"/>
      <c r="J75" s="2"/>
      <c r="K75" s="2"/>
      <c r="L75" s="2"/>
      <c r="M75" s="25"/>
      <c r="N75" s="2"/>
      <c r="O75" s="2"/>
      <c r="P75" s="2"/>
    </row>
    <row r="76" spans="2:16" s="23" customFormat="1" ht="78" customHeight="1">
      <c r="B76" s="24"/>
      <c r="C76" s="2"/>
      <c r="D76" s="2"/>
      <c r="E76" s="2"/>
      <c r="F76" s="27"/>
      <c r="G76" s="27"/>
      <c r="H76" s="2"/>
      <c r="I76" s="2"/>
      <c r="J76" s="2"/>
      <c r="K76" s="2"/>
      <c r="L76" s="2"/>
      <c r="M76" s="25"/>
      <c r="N76" s="2"/>
      <c r="O76" s="2"/>
      <c r="P76" s="2"/>
    </row>
    <row r="77" spans="2:16" s="23" customFormat="1" ht="78" customHeight="1">
      <c r="B77" s="24"/>
      <c r="C77" s="2"/>
      <c r="D77" s="2"/>
      <c r="E77" s="2"/>
      <c r="F77" s="27"/>
      <c r="G77" s="27"/>
      <c r="H77" s="2"/>
      <c r="I77" s="2"/>
      <c r="J77" s="2"/>
      <c r="K77" s="2"/>
      <c r="L77" s="2"/>
      <c r="M77" s="25"/>
      <c r="N77" s="2"/>
      <c r="O77" s="2"/>
      <c r="P77" s="2"/>
    </row>
    <row r="78" spans="2:16" s="23" customFormat="1" ht="78" customHeight="1">
      <c r="B78" s="24"/>
      <c r="C78" s="2"/>
      <c r="D78" s="2"/>
      <c r="E78" s="2"/>
      <c r="F78" s="27"/>
      <c r="G78" s="27"/>
      <c r="H78" s="2"/>
      <c r="I78" s="2"/>
      <c r="J78" s="2"/>
      <c r="K78" s="2"/>
      <c r="L78" s="2"/>
      <c r="M78" s="25"/>
      <c r="N78" s="2"/>
      <c r="O78" s="2"/>
      <c r="P78" s="2"/>
    </row>
    <row r="79" spans="2:16" s="23" customFormat="1" ht="78" customHeight="1">
      <c r="B79" s="24"/>
      <c r="C79" s="2"/>
      <c r="D79" s="2"/>
      <c r="E79" s="2"/>
      <c r="F79" s="27"/>
      <c r="G79" s="27"/>
      <c r="H79" s="2"/>
      <c r="I79" s="2"/>
      <c r="J79" s="2"/>
      <c r="K79" s="2"/>
      <c r="L79" s="2"/>
      <c r="M79" s="25"/>
      <c r="N79" s="2"/>
      <c r="O79" s="2"/>
      <c r="P79" s="2"/>
    </row>
    <row r="80" spans="2:16" s="23" customFormat="1" ht="78" customHeight="1">
      <c r="B80" s="24"/>
      <c r="C80" s="2"/>
      <c r="D80" s="2"/>
      <c r="E80" s="2"/>
      <c r="F80" s="27"/>
      <c r="G80" s="27"/>
      <c r="H80" s="2"/>
      <c r="I80" s="2"/>
      <c r="J80" s="2"/>
      <c r="K80" s="2"/>
      <c r="L80" s="2"/>
      <c r="M80" s="25"/>
      <c r="N80" s="2"/>
      <c r="O80" s="2"/>
      <c r="P80" s="2"/>
    </row>
    <row r="81" spans="2:16" s="23" customFormat="1" ht="78" customHeight="1">
      <c r="B81" s="24"/>
      <c r="C81" s="2"/>
      <c r="D81" s="2"/>
      <c r="E81" s="2"/>
      <c r="F81" s="27"/>
      <c r="G81" s="27"/>
      <c r="H81" s="2"/>
      <c r="I81" s="2"/>
      <c r="J81" s="2"/>
      <c r="K81" s="2"/>
      <c r="L81" s="2"/>
      <c r="M81" s="25"/>
      <c r="N81" s="2"/>
      <c r="O81" s="2"/>
      <c r="P81" s="2"/>
    </row>
    <row r="82" spans="2:16" s="23" customFormat="1" ht="78" customHeight="1">
      <c r="B82" s="24"/>
      <c r="C82" s="2"/>
      <c r="D82" s="2"/>
      <c r="E82" s="2"/>
      <c r="F82" s="27"/>
      <c r="G82" s="27"/>
      <c r="H82" s="2"/>
      <c r="I82" s="2"/>
      <c r="J82" s="2"/>
      <c r="K82" s="2"/>
      <c r="L82" s="2"/>
      <c r="M82" s="25"/>
      <c r="N82" s="2"/>
      <c r="O82" s="2"/>
      <c r="P82" s="2"/>
    </row>
    <row r="83" spans="2:16" s="23" customFormat="1" ht="78" customHeight="1">
      <c r="B83" s="24"/>
      <c r="C83" s="2"/>
      <c r="D83" s="2"/>
      <c r="E83" s="2"/>
      <c r="F83" s="27"/>
      <c r="G83" s="27"/>
      <c r="H83" s="2"/>
      <c r="I83" s="2"/>
      <c r="J83" s="2"/>
      <c r="K83" s="2"/>
      <c r="L83" s="2"/>
      <c r="M83" s="25"/>
      <c r="N83" s="2"/>
      <c r="O83" s="2"/>
      <c r="P83" s="2"/>
    </row>
    <row r="84" spans="2:16" s="23" customFormat="1" ht="78" customHeight="1">
      <c r="B84" s="24"/>
      <c r="C84" s="2"/>
      <c r="D84" s="2"/>
      <c r="E84" s="2"/>
      <c r="F84" s="27"/>
      <c r="G84" s="27"/>
      <c r="H84" s="2"/>
      <c r="I84" s="2"/>
      <c r="J84" s="2"/>
      <c r="K84" s="2"/>
      <c r="L84" s="2"/>
      <c r="M84" s="25"/>
      <c r="N84" s="2"/>
      <c r="O84" s="2"/>
      <c r="P84" s="2"/>
    </row>
    <row r="85" spans="2:16" s="23" customFormat="1" ht="78" customHeight="1">
      <c r="B85" s="24"/>
      <c r="C85" s="2"/>
      <c r="D85" s="2"/>
      <c r="E85" s="2"/>
      <c r="F85" s="27"/>
      <c r="G85" s="27"/>
      <c r="H85" s="2"/>
      <c r="I85" s="2"/>
      <c r="J85" s="2"/>
      <c r="K85" s="2"/>
      <c r="L85" s="2"/>
      <c r="M85" s="25"/>
      <c r="N85" s="2"/>
      <c r="O85" s="2"/>
      <c r="P85" s="2"/>
    </row>
    <row r="86" spans="2:16" s="23" customFormat="1" ht="78" customHeight="1">
      <c r="B86" s="24"/>
      <c r="C86" s="2"/>
      <c r="D86" s="2"/>
      <c r="E86" s="2"/>
      <c r="F86" s="27"/>
      <c r="G86" s="27"/>
      <c r="H86" s="2"/>
      <c r="I86" s="2"/>
      <c r="J86" s="2"/>
      <c r="K86" s="2"/>
      <c r="L86" s="2"/>
      <c r="M86" s="25"/>
      <c r="N86" s="2"/>
      <c r="O86" s="2"/>
      <c r="P86" s="2"/>
    </row>
    <row r="87" spans="2:16" s="23" customFormat="1" ht="78" customHeight="1">
      <c r="B87" s="24"/>
      <c r="C87" s="2"/>
      <c r="D87" s="2"/>
      <c r="E87" s="2"/>
      <c r="F87" s="27"/>
      <c r="G87" s="27"/>
      <c r="H87" s="2"/>
      <c r="I87" s="2"/>
      <c r="J87" s="2"/>
      <c r="K87" s="2"/>
      <c r="L87" s="2"/>
      <c r="M87" s="25"/>
      <c r="N87" s="2"/>
      <c r="O87" s="2"/>
      <c r="P87" s="2"/>
    </row>
    <row r="88" spans="2:16" s="23" customFormat="1" ht="78" customHeight="1">
      <c r="B88" s="24"/>
      <c r="C88" s="2"/>
      <c r="D88" s="2"/>
      <c r="E88" s="2"/>
      <c r="F88" s="27"/>
      <c r="G88" s="27"/>
      <c r="H88" s="2"/>
      <c r="I88" s="2"/>
      <c r="J88" s="2"/>
      <c r="K88" s="2"/>
      <c r="L88" s="2"/>
      <c r="M88" s="25"/>
      <c r="N88" s="2"/>
      <c r="O88" s="2"/>
      <c r="P88" s="2"/>
    </row>
    <row r="89" spans="2:16" s="23" customFormat="1" ht="78" customHeight="1">
      <c r="B89" s="24"/>
      <c r="C89" s="2"/>
      <c r="D89" s="2"/>
      <c r="E89" s="2"/>
      <c r="F89" s="27"/>
      <c r="G89" s="27"/>
      <c r="H89" s="2"/>
      <c r="I89" s="2"/>
      <c r="J89" s="2"/>
      <c r="K89" s="2"/>
      <c r="L89" s="2"/>
      <c r="M89" s="25"/>
      <c r="N89" s="2"/>
      <c r="O89" s="2"/>
      <c r="P89" s="2"/>
    </row>
    <row r="90" spans="2:16" s="23" customFormat="1" ht="78" customHeight="1">
      <c r="B90" s="24"/>
      <c r="C90" s="2"/>
      <c r="D90" s="2"/>
      <c r="E90" s="2"/>
      <c r="F90" s="27"/>
      <c r="G90" s="27"/>
      <c r="H90" s="2"/>
      <c r="I90" s="2"/>
      <c r="J90" s="2"/>
      <c r="K90" s="2"/>
      <c r="L90" s="2"/>
      <c r="M90" s="25"/>
      <c r="N90" s="2"/>
      <c r="O90" s="2"/>
      <c r="P90" s="2"/>
    </row>
    <row r="91" spans="2:16" s="23" customFormat="1" ht="78" customHeight="1">
      <c r="B91" s="24"/>
      <c r="C91" s="2"/>
      <c r="D91" s="2"/>
      <c r="E91" s="2"/>
      <c r="F91" s="27"/>
      <c r="G91" s="27"/>
      <c r="H91" s="2"/>
      <c r="I91" s="2"/>
      <c r="J91" s="2"/>
      <c r="K91" s="2"/>
      <c r="L91" s="2"/>
      <c r="M91" s="25"/>
      <c r="N91" s="2"/>
      <c r="O91" s="2"/>
      <c r="P91" s="2"/>
    </row>
    <row r="92" spans="2:16" s="23" customFormat="1" ht="78" customHeight="1">
      <c r="B92" s="24"/>
      <c r="C92" s="2"/>
      <c r="D92" s="2"/>
      <c r="E92" s="2"/>
      <c r="F92" s="27"/>
      <c r="G92" s="27"/>
      <c r="H92" s="2"/>
      <c r="I92" s="2"/>
      <c r="J92" s="2"/>
      <c r="K92" s="2"/>
      <c r="L92" s="2"/>
      <c r="M92" s="25"/>
      <c r="N92" s="2"/>
      <c r="O92" s="2"/>
      <c r="P92" s="2"/>
    </row>
    <row r="93" spans="2:16" s="23" customFormat="1" ht="78" customHeight="1">
      <c r="B93" s="24"/>
      <c r="C93" s="2"/>
      <c r="D93" s="2"/>
      <c r="E93" s="2"/>
      <c r="F93" s="27"/>
      <c r="G93" s="27"/>
      <c r="H93" s="2"/>
      <c r="I93" s="2"/>
      <c r="J93" s="2"/>
      <c r="K93" s="2"/>
      <c r="L93" s="2"/>
      <c r="M93" s="25"/>
      <c r="N93" s="2"/>
      <c r="O93" s="2"/>
      <c r="P93" s="2"/>
    </row>
    <row r="94" spans="2:16" s="23" customFormat="1" ht="78" customHeight="1">
      <c r="B94" s="24"/>
      <c r="C94" s="2"/>
      <c r="D94" s="2"/>
      <c r="E94" s="2"/>
      <c r="F94" s="27"/>
      <c r="G94" s="27"/>
      <c r="H94" s="2"/>
      <c r="I94" s="2"/>
      <c r="J94" s="2"/>
      <c r="K94" s="2"/>
      <c r="L94" s="2"/>
      <c r="M94" s="25"/>
      <c r="N94" s="2"/>
      <c r="O94" s="2"/>
      <c r="P94" s="2"/>
    </row>
    <row r="95" spans="2:16" s="23" customFormat="1" ht="78" customHeight="1">
      <c r="B95" s="24"/>
      <c r="C95" s="2"/>
      <c r="D95" s="2"/>
      <c r="E95" s="2"/>
      <c r="F95" s="27"/>
      <c r="G95" s="27"/>
      <c r="H95" s="2"/>
      <c r="I95" s="2"/>
      <c r="J95" s="2"/>
      <c r="K95" s="2"/>
      <c r="L95" s="2"/>
      <c r="M95" s="25"/>
      <c r="N95" s="2"/>
      <c r="O95" s="2"/>
      <c r="P95" s="2"/>
    </row>
    <row r="96" spans="2:16" s="23" customFormat="1" ht="78" customHeight="1">
      <c r="B96" s="24"/>
      <c r="C96" s="2"/>
      <c r="D96" s="2"/>
      <c r="E96" s="2"/>
      <c r="F96" s="27"/>
      <c r="G96" s="27"/>
      <c r="H96" s="2"/>
      <c r="I96" s="2"/>
      <c r="J96" s="2"/>
      <c r="K96" s="2"/>
      <c r="L96" s="2"/>
      <c r="M96" s="25"/>
      <c r="N96" s="2"/>
      <c r="O96" s="2"/>
      <c r="P96" s="2"/>
    </row>
    <row r="97" spans="2:16" s="23" customFormat="1" ht="78" customHeight="1">
      <c r="B97" s="24"/>
      <c r="C97" s="2"/>
      <c r="D97" s="2"/>
      <c r="E97" s="2"/>
      <c r="F97" s="27"/>
      <c r="G97" s="27"/>
      <c r="H97" s="2"/>
      <c r="I97" s="2"/>
      <c r="J97" s="2"/>
      <c r="K97" s="2"/>
      <c r="L97" s="2"/>
      <c r="M97" s="25"/>
      <c r="N97" s="2"/>
      <c r="O97" s="2"/>
      <c r="P97" s="2"/>
    </row>
    <row r="98" spans="2:16" s="23" customFormat="1" ht="78" customHeight="1">
      <c r="B98" s="24"/>
      <c r="C98" s="2"/>
      <c r="D98" s="2"/>
      <c r="E98" s="2"/>
      <c r="F98" s="27"/>
      <c r="G98" s="27"/>
      <c r="H98" s="2"/>
      <c r="I98" s="2"/>
      <c r="J98" s="2"/>
      <c r="K98" s="2"/>
      <c r="L98" s="2"/>
      <c r="M98" s="25"/>
      <c r="N98" s="2"/>
      <c r="O98" s="2"/>
      <c r="P98" s="2"/>
    </row>
    <row r="99" spans="2:16" s="23" customFormat="1" ht="78" customHeight="1">
      <c r="B99" s="24"/>
      <c r="C99" s="2"/>
      <c r="D99" s="2"/>
      <c r="E99" s="2"/>
      <c r="F99" s="27"/>
      <c r="G99" s="27"/>
      <c r="H99" s="2"/>
      <c r="I99" s="2"/>
      <c r="J99" s="2"/>
      <c r="K99" s="2"/>
      <c r="L99" s="2"/>
      <c r="M99" s="25"/>
      <c r="N99" s="2"/>
      <c r="O99" s="2"/>
      <c r="P99" s="2"/>
    </row>
    <row r="100" spans="2:16" s="23" customFormat="1" ht="78" customHeight="1">
      <c r="B100" s="24"/>
      <c r="C100" s="2"/>
      <c r="D100" s="2"/>
      <c r="E100" s="2"/>
      <c r="F100" s="27"/>
      <c r="G100" s="27"/>
      <c r="H100" s="2"/>
      <c r="I100" s="2"/>
      <c r="J100" s="2"/>
      <c r="K100" s="2"/>
      <c r="L100" s="2"/>
      <c r="M100" s="25"/>
      <c r="N100" s="2"/>
      <c r="O100" s="2"/>
      <c r="P100" s="2"/>
    </row>
    <row r="101" spans="2:16" s="23" customFormat="1" ht="78" customHeight="1">
      <c r="B101" s="24"/>
      <c r="C101" s="2"/>
      <c r="D101" s="2"/>
      <c r="E101" s="2"/>
      <c r="F101" s="27"/>
      <c r="G101" s="27"/>
      <c r="H101" s="2"/>
      <c r="I101" s="2"/>
      <c r="J101" s="2"/>
      <c r="K101" s="2"/>
      <c r="L101" s="2"/>
      <c r="M101" s="25"/>
      <c r="N101" s="2"/>
      <c r="O101" s="2"/>
      <c r="P101" s="2"/>
    </row>
    <row r="102" spans="2:16" s="23" customFormat="1" ht="78" customHeight="1">
      <c r="B102" s="24"/>
      <c r="C102" s="2"/>
      <c r="D102" s="2"/>
      <c r="E102" s="2"/>
      <c r="F102" s="27"/>
      <c r="G102" s="27"/>
      <c r="H102" s="2"/>
      <c r="I102" s="2"/>
      <c r="J102" s="2"/>
      <c r="K102" s="2"/>
      <c r="L102" s="2"/>
      <c r="M102" s="25"/>
      <c r="N102" s="2"/>
      <c r="O102" s="2"/>
      <c r="P102" s="2"/>
    </row>
    <row r="103" spans="2:16" s="23" customFormat="1" ht="78" customHeight="1">
      <c r="B103" s="24"/>
      <c r="C103" s="2"/>
      <c r="D103" s="2"/>
      <c r="E103" s="2"/>
      <c r="F103" s="27"/>
      <c r="G103" s="27"/>
      <c r="H103" s="2"/>
      <c r="I103" s="2"/>
      <c r="J103" s="2"/>
      <c r="K103" s="2"/>
      <c r="L103" s="2"/>
      <c r="M103" s="25"/>
      <c r="N103" s="2"/>
      <c r="O103" s="2"/>
      <c r="P103" s="2"/>
    </row>
    <row r="104" spans="2:16" s="23" customFormat="1" ht="78" customHeight="1">
      <c r="B104" s="24"/>
      <c r="C104" s="2"/>
      <c r="D104" s="2"/>
      <c r="E104" s="2"/>
      <c r="F104" s="27"/>
      <c r="G104" s="27"/>
      <c r="H104" s="2"/>
      <c r="I104" s="2"/>
      <c r="J104" s="2"/>
      <c r="K104" s="2"/>
      <c r="L104" s="2"/>
      <c r="M104" s="25"/>
      <c r="N104" s="2"/>
      <c r="O104" s="2"/>
      <c r="P104" s="2"/>
    </row>
    <row r="105" spans="2:16" s="23" customFormat="1" ht="78" customHeight="1">
      <c r="B105" s="24"/>
      <c r="C105" s="2"/>
      <c r="D105" s="2"/>
      <c r="E105" s="2"/>
      <c r="F105" s="27"/>
      <c r="G105" s="27"/>
      <c r="H105" s="2"/>
      <c r="I105" s="2"/>
      <c r="J105" s="2"/>
      <c r="K105" s="2"/>
      <c r="L105" s="2"/>
      <c r="M105" s="25"/>
      <c r="N105" s="2"/>
      <c r="O105" s="2"/>
      <c r="P105" s="2"/>
    </row>
    <row r="106" spans="2:16" s="23" customFormat="1" ht="78" customHeight="1">
      <c r="B106" s="24"/>
      <c r="C106" s="2"/>
      <c r="D106" s="2"/>
      <c r="E106" s="2"/>
      <c r="F106" s="27"/>
      <c r="G106" s="27"/>
      <c r="H106" s="2"/>
      <c r="I106" s="2"/>
      <c r="J106" s="2"/>
      <c r="K106" s="2"/>
      <c r="L106" s="2"/>
      <c r="M106" s="25"/>
      <c r="N106" s="2"/>
      <c r="O106" s="2"/>
      <c r="P106" s="2"/>
    </row>
    <row r="107" spans="2:16" s="23" customFormat="1" ht="78" customHeight="1">
      <c r="B107" s="24"/>
      <c r="C107" s="2"/>
      <c r="D107" s="2"/>
      <c r="E107" s="2"/>
      <c r="F107" s="27"/>
      <c r="G107" s="27"/>
      <c r="H107" s="2"/>
      <c r="I107" s="2"/>
      <c r="J107" s="2"/>
      <c r="K107" s="2"/>
      <c r="L107" s="2"/>
      <c r="M107" s="25"/>
      <c r="N107" s="2"/>
      <c r="O107" s="2"/>
      <c r="P107" s="2"/>
    </row>
    <row r="108" spans="2:16" s="23" customFormat="1" ht="78" customHeight="1">
      <c r="B108" s="24"/>
      <c r="C108" s="2"/>
      <c r="D108" s="2"/>
      <c r="E108" s="2"/>
      <c r="F108" s="27"/>
      <c r="G108" s="27"/>
      <c r="H108" s="2"/>
      <c r="I108" s="2"/>
      <c r="J108" s="2"/>
      <c r="K108" s="2"/>
      <c r="L108" s="2"/>
      <c r="M108" s="25"/>
      <c r="N108" s="2"/>
      <c r="O108" s="2"/>
      <c r="P108" s="2"/>
    </row>
    <row r="109" spans="2:16" s="23" customFormat="1" ht="78" customHeight="1">
      <c r="B109" s="24"/>
      <c r="C109" s="2"/>
      <c r="D109" s="2"/>
      <c r="E109" s="2"/>
      <c r="F109" s="27"/>
      <c r="G109" s="27"/>
      <c r="H109" s="2"/>
      <c r="I109" s="2"/>
      <c r="J109" s="2"/>
      <c r="K109" s="2"/>
      <c r="L109" s="2"/>
      <c r="M109" s="25"/>
      <c r="N109" s="2"/>
      <c r="O109" s="2"/>
      <c r="P109" s="2"/>
    </row>
    <row r="110" spans="2:16" s="23" customFormat="1" ht="78" customHeight="1">
      <c r="B110" s="24"/>
      <c r="C110" s="2"/>
      <c r="D110" s="2"/>
      <c r="E110" s="2"/>
      <c r="F110" s="27"/>
      <c r="G110" s="27"/>
      <c r="H110" s="2"/>
      <c r="I110" s="2"/>
      <c r="J110" s="2"/>
      <c r="K110" s="2"/>
      <c r="L110" s="2"/>
      <c r="M110" s="25"/>
      <c r="N110" s="2"/>
      <c r="O110" s="2"/>
      <c r="P110" s="2"/>
    </row>
    <row r="111" spans="2:16" s="23" customFormat="1" ht="78" customHeight="1">
      <c r="B111" s="24"/>
      <c r="C111" s="2"/>
      <c r="D111" s="2"/>
      <c r="E111" s="2"/>
      <c r="F111" s="27"/>
      <c r="G111" s="27"/>
      <c r="H111" s="2"/>
      <c r="I111" s="2"/>
      <c r="J111" s="2"/>
      <c r="K111" s="2"/>
      <c r="L111" s="2"/>
      <c r="M111" s="25"/>
      <c r="N111" s="2"/>
      <c r="O111" s="2"/>
      <c r="P111" s="2"/>
    </row>
    <row r="112" spans="2:16" s="23" customFormat="1" ht="78" customHeight="1">
      <c r="B112" s="24"/>
      <c r="C112" s="2"/>
      <c r="D112" s="2"/>
      <c r="E112" s="2"/>
      <c r="F112" s="27"/>
      <c r="G112" s="27"/>
      <c r="H112" s="2"/>
      <c r="I112" s="2"/>
      <c r="J112" s="2"/>
      <c r="K112" s="2"/>
      <c r="L112" s="2"/>
      <c r="M112" s="25"/>
      <c r="N112" s="2"/>
      <c r="O112" s="2"/>
      <c r="P112" s="2"/>
    </row>
    <row r="113" spans="2:16" s="23" customFormat="1" ht="78" customHeight="1">
      <c r="B113" s="24"/>
      <c r="C113" s="2"/>
      <c r="D113" s="2"/>
      <c r="E113" s="2"/>
      <c r="F113" s="27"/>
      <c r="G113" s="27"/>
      <c r="H113" s="2"/>
      <c r="I113" s="2"/>
      <c r="J113" s="2"/>
      <c r="K113" s="2"/>
      <c r="L113" s="2"/>
      <c r="M113" s="25"/>
      <c r="N113" s="2"/>
      <c r="O113" s="2"/>
      <c r="P113" s="2"/>
    </row>
    <row r="114" spans="2:16" s="23" customFormat="1" ht="78" customHeight="1">
      <c r="B114" s="24"/>
      <c r="C114" s="2"/>
      <c r="D114" s="2"/>
      <c r="E114" s="2"/>
      <c r="F114" s="27"/>
      <c r="G114" s="27"/>
      <c r="H114" s="2"/>
      <c r="I114" s="2"/>
      <c r="J114" s="2"/>
      <c r="K114" s="2"/>
      <c r="L114" s="2"/>
      <c r="M114" s="25"/>
      <c r="N114" s="2"/>
      <c r="O114" s="2"/>
      <c r="P114" s="2"/>
    </row>
    <row r="115" spans="2:16" s="23" customFormat="1" ht="78" customHeight="1">
      <c r="B115" s="24"/>
      <c r="C115" s="2"/>
      <c r="D115" s="2"/>
      <c r="E115" s="2"/>
      <c r="F115" s="27"/>
      <c r="G115" s="27"/>
      <c r="H115" s="2"/>
      <c r="I115" s="2"/>
      <c r="J115" s="2"/>
      <c r="K115" s="2"/>
      <c r="L115" s="2"/>
      <c r="M115" s="25"/>
      <c r="N115" s="2"/>
      <c r="O115" s="2"/>
      <c r="P115" s="2"/>
    </row>
    <row r="116" spans="2:16" s="23" customFormat="1" ht="78" customHeight="1">
      <c r="B116" s="24"/>
      <c r="C116" s="2"/>
      <c r="D116" s="2"/>
      <c r="E116" s="2"/>
      <c r="F116" s="27"/>
      <c r="G116" s="27"/>
      <c r="H116" s="2"/>
      <c r="I116" s="2"/>
      <c r="J116" s="2"/>
      <c r="K116" s="2"/>
      <c r="L116" s="2"/>
      <c r="M116" s="25"/>
      <c r="N116" s="2"/>
      <c r="O116" s="2"/>
      <c r="P116" s="2"/>
    </row>
    <row r="117" spans="2:16" s="23" customFormat="1" ht="78" customHeight="1">
      <c r="B117" s="24"/>
      <c r="C117" s="2"/>
      <c r="D117" s="2"/>
      <c r="E117" s="2"/>
      <c r="F117" s="27"/>
      <c r="G117" s="27"/>
      <c r="H117" s="2"/>
      <c r="I117" s="2"/>
      <c r="J117" s="2"/>
      <c r="K117" s="2"/>
      <c r="L117" s="2"/>
      <c r="M117" s="25"/>
      <c r="N117" s="2"/>
      <c r="O117" s="2"/>
      <c r="P117" s="2"/>
    </row>
    <row r="118" spans="2:16" s="23" customFormat="1" ht="78" customHeight="1">
      <c r="B118" s="24"/>
      <c r="C118" s="2"/>
      <c r="D118" s="2"/>
      <c r="E118" s="2"/>
      <c r="F118" s="27"/>
      <c r="G118" s="27"/>
      <c r="H118" s="2"/>
      <c r="I118" s="2"/>
      <c r="J118" s="2"/>
      <c r="K118" s="2"/>
      <c r="L118" s="2"/>
      <c r="M118" s="25"/>
      <c r="N118" s="2"/>
      <c r="O118" s="2"/>
      <c r="P118" s="2"/>
    </row>
    <row r="119" spans="2:16" s="23" customFormat="1" ht="78" customHeight="1">
      <c r="B119" s="24"/>
      <c r="C119" s="2"/>
      <c r="D119" s="2"/>
      <c r="E119" s="2"/>
      <c r="F119" s="27"/>
      <c r="G119" s="27"/>
      <c r="H119" s="2"/>
      <c r="I119" s="2"/>
      <c r="J119" s="2"/>
      <c r="K119" s="2"/>
      <c r="L119" s="2"/>
      <c r="M119" s="25"/>
      <c r="N119" s="2"/>
      <c r="O119" s="2"/>
      <c r="P119" s="2"/>
    </row>
    <row r="120" spans="2:16" s="23" customFormat="1" ht="78" customHeight="1">
      <c r="B120" s="24"/>
      <c r="C120" s="2"/>
      <c r="D120" s="2"/>
      <c r="E120" s="2"/>
      <c r="F120" s="27"/>
      <c r="G120" s="27"/>
      <c r="H120" s="2"/>
      <c r="I120" s="2"/>
      <c r="J120" s="2"/>
      <c r="K120" s="2"/>
      <c r="L120" s="2"/>
      <c r="M120" s="25"/>
      <c r="N120" s="2"/>
      <c r="O120" s="2"/>
      <c r="P120" s="2"/>
    </row>
    <row r="121" spans="2:16" s="23" customFormat="1" ht="78" customHeight="1">
      <c r="B121" s="24"/>
      <c r="C121" s="2"/>
      <c r="D121" s="2"/>
      <c r="E121" s="2"/>
      <c r="F121" s="27"/>
      <c r="G121" s="27"/>
      <c r="H121" s="2"/>
      <c r="I121" s="2"/>
      <c r="J121" s="2"/>
      <c r="K121" s="2"/>
      <c r="L121" s="2"/>
      <c r="M121" s="25"/>
      <c r="N121" s="2"/>
      <c r="O121" s="2"/>
      <c r="P121" s="2"/>
    </row>
    <row r="122" spans="2:16" s="23" customFormat="1" ht="78" customHeight="1">
      <c r="B122" s="24"/>
      <c r="C122" s="2"/>
      <c r="D122" s="2"/>
      <c r="E122" s="2"/>
      <c r="F122" s="27"/>
      <c r="G122" s="27"/>
      <c r="H122" s="2"/>
      <c r="I122" s="2"/>
      <c r="J122" s="2"/>
      <c r="K122" s="2"/>
      <c r="L122" s="2"/>
      <c r="M122" s="25"/>
      <c r="N122" s="2"/>
      <c r="O122" s="2"/>
      <c r="P122" s="2"/>
    </row>
    <row r="123" spans="2:16" s="23" customFormat="1" ht="78" customHeight="1">
      <c r="B123" s="24"/>
      <c r="C123" s="2"/>
      <c r="D123" s="2"/>
      <c r="E123" s="2"/>
      <c r="F123" s="27"/>
      <c r="G123" s="27"/>
      <c r="H123" s="2"/>
      <c r="I123" s="2"/>
      <c r="J123" s="2"/>
      <c r="K123" s="2"/>
      <c r="L123" s="2"/>
      <c r="M123" s="25"/>
      <c r="N123" s="2"/>
      <c r="O123" s="2"/>
      <c r="P123" s="2"/>
    </row>
    <row r="124" spans="2:16" s="23" customFormat="1" ht="78" customHeight="1">
      <c r="B124" s="24"/>
      <c r="C124" s="2"/>
      <c r="D124" s="2"/>
      <c r="E124" s="2"/>
      <c r="F124" s="27"/>
      <c r="G124" s="27"/>
      <c r="H124" s="2"/>
      <c r="I124" s="2"/>
      <c r="J124" s="2"/>
      <c r="K124" s="2"/>
      <c r="L124" s="2"/>
      <c r="M124" s="25"/>
      <c r="N124" s="2"/>
      <c r="O124" s="2"/>
      <c r="P124" s="2"/>
    </row>
    <row r="125" spans="2:16" s="23" customFormat="1" ht="78" customHeight="1">
      <c r="B125" s="24"/>
      <c r="C125" s="2"/>
      <c r="D125" s="2"/>
      <c r="E125" s="2"/>
      <c r="F125" s="27"/>
      <c r="G125" s="27"/>
      <c r="H125" s="2"/>
      <c r="I125" s="2"/>
      <c r="J125" s="2"/>
      <c r="K125" s="2"/>
      <c r="L125" s="2"/>
      <c r="M125" s="25"/>
      <c r="N125" s="2"/>
      <c r="O125" s="2"/>
      <c r="P125" s="2"/>
    </row>
    <row r="126" spans="2:16" s="23" customFormat="1" ht="78" customHeight="1">
      <c r="B126" s="24"/>
      <c r="C126" s="2"/>
      <c r="D126" s="2"/>
      <c r="E126" s="2"/>
      <c r="F126" s="27"/>
      <c r="G126" s="27"/>
      <c r="H126" s="2"/>
      <c r="I126" s="2"/>
      <c r="J126" s="2"/>
      <c r="K126" s="2"/>
      <c r="L126" s="2"/>
      <c r="M126" s="25"/>
      <c r="N126" s="2"/>
      <c r="O126" s="2"/>
      <c r="P126" s="2"/>
    </row>
    <row r="127" spans="2:16" s="23" customFormat="1" ht="78" customHeight="1">
      <c r="B127" s="24"/>
      <c r="C127" s="2"/>
      <c r="D127" s="2"/>
      <c r="E127" s="2"/>
      <c r="F127" s="27"/>
      <c r="G127" s="27"/>
      <c r="H127" s="2"/>
      <c r="I127" s="2"/>
      <c r="J127" s="2"/>
      <c r="K127" s="2"/>
      <c r="L127" s="2"/>
      <c r="M127" s="25"/>
      <c r="N127" s="2"/>
      <c r="O127" s="2"/>
      <c r="P127" s="2"/>
    </row>
    <row r="128" spans="2:16" s="23" customFormat="1" ht="78" customHeight="1">
      <c r="B128" s="24"/>
      <c r="C128" s="2"/>
      <c r="D128" s="2"/>
      <c r="E128" s="2"/>
      <c r="F128" s="27"/>
      <c r="G128" s="27"/>
      <c r="H128" s="2"/>
      <c r="I128" s="2"/>
      <c r="J128" s="2"/>
      <c r="K128" s="2"/>
      <c r="L128" s="2"/>
      <c r="M128" s="25"/>
      <c r="N128" s="2"/>
      <c r="O128" s="2"/>
      <c r="P128" s="2"/>
    </row>
    <row r="129" spans="2:16" s="23" customFormat="1" ht="78" customHeight="1">
      <c r="B129" s="24"/>
      <c r="C129" s="2"/>
      <c r="D129" s="2"/>
      <c r="E129" s="2"/>
      <c r="F129" s="27"/>
      <c r="G129" s="27"/>
      <c r="H129" s="2"/>
      <c r="I129" s="2"/>
      <c r="J129" s="2"/>
      <c r="K129" s="2"/>
      <c r="L129" s="2"/>
      <c r="M129" s="25"/>
      <c r="N129" s="2"/>
      <c r="O129" s="2"/>
      <c r="P129" s="2"/>
    </row>
    <row r="130" spans="2:16" s="23" customFormat="1" ht="78" customHeight="1">
      <c r="B130" s="24"/>
      <c r="C130" s="2"/>
      <c r="D130" s="2"/>
      <c r="E130" s="2"/>
      <c r="F130" s="27"/>
      <c r="G130" s="27"/>
      <c r="H130" s="2"/>
      <c r="I130" s="2"/>
      <c r="J130" s="2"/>
      <c r="K130" s="2"/>
      <c r="L130" s="2"/>
      <c r="M130" s="25"/>
      <c r="N130" s="2"/>
      <c r="O130" s="2"/>
      <c r="P130" s="2"/>
    </row>
    <row r="131" spans="2:16" s="23" customFormat="1" ht="78" customHeight="1">
      <c r="B131" s="24"/>
      <c r="C131" s="2"/>
      <c r="D131" s="2"/>
      <c r="E131" s="2"/>
      <c r="F131" s="27"/>
      <c r="G131" s="27"/>
      <c r="H131" s="2"/>
      <c r="I131" s="2"/>
      <c r="J131" s="2"/>
      <c r="K131" s="2"/>
      <c r="L131" s="2"/>
      <c r="M131" s="25"/>
      <c r="N131" s="2"/>
      <c r="O131" s="2"/>
      <c r="P131" s="2"/>
    </row>
    <row r="132" spans="2:16" s="23" customFormat="1" ht="78" customHeight="1">
      <c r="B132" s="24"/>
      <c r="C132" s="2"/>
      <c r="D132" s="2"/>
      <c r="E132" s="2"/>
      <c r="F132" s="27"/>
      <c r="G132" s="27"/>
      <c r="H132" s="2"/>
      <c r="I132" s="2"/>
      <c r="J132" s="2"/>
      <c r="K132" s="2"/>
      <c r="L132" s="2"/>
      <c r="M132" s="25"/>
      <c r="N132" s="2"/>
      <c r="O132" s="2"/>
      <c r="P132" s="2"/>
    </row>
    <row r="133" spans="2:16" s="23" customFormat="1" ht="78" customHeight="1">
      <c r="B133" s="24"/>
      <c r="C133" s="2"/>
      <c r="D133" s="2"/>
      <c r="E133" s="2"/>
      <c r="F133" s="27"/>
      <c r="G133" s="27"/>
      <c r="H133" s="2"/>
      <c r="I133" s="2"/>
      <c r="J133" s="2"/>
      <c r="K133" s="2"/>
      <c r="L133" s="2"/>
      <c r="M133" s="25"/>
      <c r="N133" s="2"/>
      <c r="O133" s="2"/>
      <c r="P133" s="2"/>
    </row>
    <row r="134" spans="2:16" s="23" customFormat="1" ht="78" customHeight="1">
      <c r="B134" s="24"/>
      <c r="C134" s="2"/>
      <c r="D134" s="2"/>
      <c r="E134" s="2"/>
      <c r="F134" s="27"/>
      <c r="G134" s="27"/>
      <c r="H134" s="2"/>
      <c r="I134" s="2"/>
      <c r="J134" s="2"/>
      <c r="K134" s="2"/>
      <c r="L134" s="2"/>
      <c r="M134" s="25"/>
      <c r="N134" s="2"/>
      <c r="O134" s="2"/>
      <c r="P134" s="2"/>
    </row>
    <row r="135" spans="2:16" s="23" customFormat="1" ht="78" customHeight="1">
      <c r="B135" s="24"/>
      <c r="C135" s="2"/>
      <c r="D135" s="2"/>
      <c r="E135" s="2"/>
      <c r="F135" s="27"/>
      <c r="G135" s="27"/>
      <c r="H135" s="2"/>
      <c r="I135" s="2"/>
      <c r="J135" s="2"/>
      <c r="K135" s="2"/>
      <c r="L135" s="2"/>
      <c r="M135" s="25"/>
      <c r="N135" s="2"/>
      <c r="O135" s="2"/>
      <c r="P135" s="2"/>
    </row>
    <row r="136" spans="2:16" s="23" customFormat="1" ht="78" customHeight="1">
      <c r="B136" s="24"/>
      <c r="C136" s="2"/>
      <c r="D136" s="2"/>
      <c r="E136" s="2"/>
      <c r="F136" s="27"/>
      <c r="G136" s="27"/>
      <c r="H136" s="2"/>
      <c r="I136" s="2"/>
      <c r="J136" s="2"/>
      <c r="K136" s="2"/>
      <c r="L136" s="2"/>
      <c r="M136" s="25"/>
      <c r="N136" s="2"/>
      <c r="O136" s="2"/>
      <c r="P136" s="2"/>
    </row>
    <row r="137" spans="2:16" s="23" customFormat="1" ht="78" customHeight="1">
      <c r="B137" s="24"/>
      <c r="C137" s="2"/>
      <c r="D137" s="2"/>
      <c r="E137" s="2"/>
      <c r="F137" s="27"/>
      <c r="G137" s="27"/>
      <c r="H137" s="2"/>
      <c r="I137" s="2"/>
      <c r="J137" s="2"/>
      <c r="K137" s="2"/>
      <c r="L137" s="2"/>
      <c r="M137" s="25"/>
      <c r="N137" s="2"/>
      <c r="O137" s="2"/>
      <c r="P137" s="2"/>
    </row>
    <row r="138" spans="2:16" s="23" customFormat="1" ht="78" customHeight="1">
      <c r="B138" s="24"/>
      <c r="C138" s="2"/>
      <c r="D138" s="2"/>
      <c r="E138" s="2"/>
      <c r="F138" s="27"/>
      <c r="G138" s="27"/>
      <c r="H138" s="2"/>
      <c r="I138" s="2"/>
      <c r="J138" s="2"/>
      <c r="K138" s="2"/>
      <c r="L138" s="2"/>
      <c r="M138" s="25"/>
      <c r="N138" s="2"/>
      <c r="O138" s="2"/>
      <c r="P138" s="2"/>
    </row>
    <row r="139" spans="2:16" s="23" customFormat="1" ht="78" customHeight="1">
      <c r="B139" s="24"/>
      <c r="C139" s="2"/>
      <c r="D139" s="2"/>
      <c r="E139" s="2"/>
      <c r="F139" s="27"/>
      <c r="G139" s="27"/>
      <c r="H139" s="2"/>
      <c r="I139" s="2"/>
      <c r="J139" s="2"/>
      <c r="K139" s="2"/>
      <c r="L139" s="2"/>
      <c r="M139" s="25"/>
      <c r="N139" s="2"/>
      <c r="O139" s="2"/>
      <c r="P139" s="2"/>
    </row>
    <row r="140" spans="2:16" s="23" customFormat="1" ht="78" customHeight="1">
      <c r="B140" s="24"/>
      <c r="C140" s="2"/>
      <c r="D140" s="2"/>
      <c r="E140" s="2"/>
      <c r="F140" s="27"/>
      <c r="G140" s="27"/>
      <c r="H140" s="2"/>
      <c r="I140" s="2"/>
      <c r="J140" s="2"/>
      <c r="K140" s="2"/>
      <c r="L140" s="2"/>
      <c r="M140" s="25"/>
      <c r="N140" s="2"/>
      <c r="O140" s="2"/>
      <c r="P140" s="2"/>
    </row>
    <row r="141" spans="2:16" s="23" customFormat="1" ht="78" customHeight="1">
      <c r="B141" s="24"/>
      <c r="C141" s="2"/>
      <c r="D141" s="2"/>
      <c r="E141" s="2"/>
      <c r="F141" s="27"/>
      <c r="G141" s="27"/>
      <c r="H141" s="2"/>
      <c r="I141" s="2"/>
      <c r="J141" s="2"/>
      <c r="K141" s="2"/>
      <c r="L141" s="2"/>
      <c r="M141" s="25"/>
      <c r="N141" s="2"/>
      <c r="O141" s="2"/>
      <c r="P141" s="2"/>
    </row>
    <row r="142" spans="2:16" s="23" customFormat="1" ht="78" customHeight="1">
      <c r="B142" s="24"/>
      <c r="C142" s="2"/>
      <c r="D142" s="2"/>
      <c r="E142" s="2"/>
      <c r="F142" s="27"/>
      <c r="G142" s="27"/>
      <c r="H142" s="2"/>
      <c r="I142" s="2"/>
      <c r="J142" s="2"/>
      <c r="K142" s="2"/>
      <c r="L142" s="2"/>
      <c r="M142" s="25"/>
      <c r="N142" s="2"/>
      <c r="O142" s="2"/>
      <c r="P142" s="2"/>
    </row>
    <row r="143" spans="2:16" s="23" customFormat="1" ht="78" customHeight="1">
      <c r="B143" s="24"/>
      <c r="C143" s="2"/>
      <c r="D143" s="2"/>
      <c r="E143" s="2"/>
      <c r="F143" s="27"/>
      <c r="G143" s="27"/>
      <c r="H143" s="2"/>
      <c r="I143" s="2"/>
      <c r="J143" s="2"/>
      <c r="K143" s="2"/>
      <c r="L143" s="2"/>
      <c r="M143" s="25"/>
      <c r="N143" s="2"/>
      <c r="O143" s="2"/>
      <c r="P143" s="2"/>
    </row>
    <row r="144" spans="2:16" s="23" customFormat="1" ht="78" customHeight="1">
      <c r="B144" s="24"/>
      <c r="C144" s="2"/>
      <c r="D144" s="2"/>
      <c r="E144" s="2"/>
      <c r="F144" s="27"/>
      <c r="G144" s="27"/>
      <c r="H144" s="2"/>
      <c r="I144" s="2"/>
      <c r="J144" s="2"/>
      <c r="K144" s="2"/>
      <c r="L144" s="2"/>
      <c r="M144" s="25"/>
      <c r="N144" s="2"/>
      <c r="O144" s="2"/>
      <c r="P144" s="2"/>
    </row>
    <row r="145" spans="2:16" s="23" customFormat="1" ht="78" customHeight="1">
      <c r="B145" s="24"/>
      <c r="C145" s="2"/>
      <c r="D145" s="2"/>
      <c r="E145" s="2"/>
      <c r="F145" s="27"/>
      <c r="G145" s="27"/>
      <c r="H145" s="2"/>
      <c r="I145" s="2"/>
      <c r="J145" s="2"/>
      <c r="K145" s="2"/>
      <c r="L145" s="2"/>
      <c r="M145" s="25"/>
      <c r="N145" s="2"/>
      <c r="O145" s="2"/>
      <c r="P145" s="2"/>
    </row>
    <row r="146" spans="2:16" s="23" customFormat="1" ht="78" customHeight="1">
      <c r="B146" s="24"/>
      <c r="C146" s="2"/>
      <c r="D146" s="2"/>
      <c r="E146" s="2"/>
      <c r="F146" s="27"/>
      <c r="G146" s="27"/>
      <c r="H146" s="2"/>
      <c r="I146" s="2"/>
      <c r="J146" s="2"/>
      <c r="K146" s="2"/>
      <c r="L146" s="2"/>
      <c r="M146" s="25"/>
      <c r="N146" s="2"/>
      <c r="O146" s="2"/>
      <c r="P146" s="2"/>
    </row>
    <row r="147" spans="2:16" s="23" customFormat="1" ht="78" customHeight="1">
      <c r="B147" s="24"/>
      <c r="C147" s="2"/>
      <c r="D147" s="2"/>
      <c r="E147" s="2"/>
      <c r="F147" s="27"/>
      <c r="G147" s="27"/>
      <c r="H147" s="2"/>
      <c r="I147" s="2"/>
      <c r="J147" s="2"/>
      <c r="K147" s="2"/>
      <c r="L147" s="2"/>
      <c r="M147" s="25"/>
      <c r="N147" s="2"/>
      <c r="O147" s="2"/>
      <c r="P147" s="2"/>
    </row>
    <row r="148" spans="2:16" s="23" customFormat="1" ht="78" customHeight="1">
      <c r="B148" s="24"/>
      <c r="C148" s="2"/>
      <c r="D148" s="2"/>
      <c r="E148" s="2"/>
      <c r="F148" s="27"/>
      <c r="G148" s="27"/>
      <c r="H148" s="2"/>
      <c r="I148" s="2"/>
      <c r="J148" s="2"/>
      <c r="K148" s="2"/>
      <c r="L148" s="2"/>
      <c r="M148" s="25"/>
      <c r="N148" s="2"/>
      <c r="O148" s="2"/>
      <c r="P148" s="2"/>
    </row>
    <row r="149" spans="2:16" s="23" customFormat="1" ht="78" customHeight="1">
      <c r="B149" s="24"/>
      <c r="C149" s="2"/>
      <c r="D149" s="2"/>
      <c r="E149" s="2"/>
      <c r="F149" s="27"/>
      <c r="G149" s="27"/>
      <c r="H149" s="2"/>
      <c r="I149" s="2"/>
      <c r="J149" s="2"/>
      <c r="K149" s="2"/>
      <c r="L149" s="2"/>
      <c r="M149" s="25"/>
      <c r="N149" s="2"/>
      <c r="O149" s="2"/>
      <c r="P149" s="2"/>
    </row>
    <row r="150" spans="2:16" s="23" customFormat="1" ht="78" customHeight="1">
      <c r="B150" s="24"/>
      <c r="C150" s="2"/>
      <c r="D150" s="2"/>
      <c r="E150" s="2"/>
      <c r="F150" s="27"/>
      <c r="G150" s="27"/>
      <c r="H150" s="2"/>
      <c r="I150" s="2"/>
      <c r="J150" s="2"/>
      <c r="K150" s="2"/>
      <c r="L150" s="2"/>
      <c r="M150" s="25"/>
      <c r="N150" s="2"/>
      <c r="O150" s="2"/>
      <c r="P150" s="2"/>
    </row>
    <row r="151" spans="2:16" s="23" customFormat="1" ht="78" customHeight="1">
      <c r="B151" s="24"/>
      <c r="C151" s="2"/>
      <c r="D151" s="2"/>
      <c r="E151" s="2"/>
      <c r="F151" s="27"/>
      <c r="G151" s="27"/>
      <c r="H151" s="2"/>
      <c r="I151" s="2"/>
      <c r="J151" s="2"/>
      <c r="K151" s="2"/>
      <c r="L151" s="2"/>
      <c r="M151" s="25"/>
      <c r="N151" s="2"/>
      <c r="O151" s="2"/>
      <c r="P151" s="2"/>
    </row>
    <row r="152" spans="2:16" s="23" customFormat="1" ht="78" customHeight="1">
      <c r="B152" s="24"/>
      <c r="C152" s="2"/>
      <c r="D152" s="2"/>
      <c r="E152" s="2"/>
      <c r="F152" s="27"/>
      <c r="G152" s="27"/>
      <c r="H152" s="2"/>
      <c r="I152" s="2"/>
      <c r="J152" s="2"/>
      <c r="K152" s="2"/>
      <c r="L152" s="2"/>
      <c r="M152" s="25"/>
      <c r="N152" s="2"/>
      <c r="O152" s="2"/>
      <c r="P152" s="2"/>
    </row>
    <row r="153" spans="2:16" s="23" customFormat="1" ht="78" customHeight="1">
      <c r="B153" s="24"/>
      <c r="C153" s="2"/>
      <c r="D153" s="2"/>
      <c r="E153" s="2"/>
      <c r="F153" s="27"/>
      <c r="G153" s="27"/>
      <c r="H153" s="2"/>
      <c r="I153" s="2"/>
      <c r="J153" s="2"/>
      <c r="K153" s="2"/>
      <c r="L153" s="2"/>
      <c r="M153" s="25"/>
      <c r="N153" s="2"/>
      <c r="O153" s="2"/>
      <c r="P153" s="2"/>
    </row>
    <row r="154" spans="2:16" s="23" customFormat="1" ht="78" customHeight="1">
      <c r="B154" s="24"/>
      <c r="C154" s="2"/>
      <c r="D154" s="2"/>
      <c r="E154" s="2"/>
      <c r="F154" s="27"/>
      <c r="G154" s="27"/>
      <c r="H154" s="2"/>
      <c r="I154" s="2"/>
      <c r="J154" s="2"/>
      <c r="K154" s="2"/>
      <c r="L154" s="2"/>
      <c r="M154" s="25"/>
      <c r="N154" s="2"/>
      <c r="O154" s="2"/>
      <c r="P154" s="2"/>
    </row>
    <row r="155" spans="2:16" s="23" customFormat="1" ht="78" customHeight="1">
      <c r="B155" s="24"/>
      <c r="C155" s="2"/>
      <c r="D155" s="2"/>
      <c r="E155" s="2"/>
      <c r="F155" s="27"/>
      <c r="G155" s="27"/>
      <c r="H155" s="2"/>
      <c r="I155" s="2"/>
      <c r="J155" s="2"/>
      <c r="K155" s="2"/>
      <c r="L155" s="2"/>
      <c r="M155" s="25"/>
      <c r="N155" s="2"/>
      <c r="O155" s="2"/>
      <c r="P155" s="2"/>
    </row>
    <row r="156" spans="2:16" s="23" customFormat="1" ht="78" customHeight="1">
      <c r="B156" s="24"/>
      <c r="C156" s="2"/>
      <c r="D156" s="2"/>
      <c r="E156" s="2"/>
      <c r="F156" s="27"/>
      <c r="G156" s="27"/>
      <c r="H156" s="2"/>
      <c r="I156" s="2"/>
      <c r="J156" s="2"/>
      <c r="K156" s="2"/>
      <c r="L156" s="2"/>
      <c r="M156" s="25"/>
      <c r="N156" s="2"/>
      <c r="O156" s="2"/>
      <c r="P156" s="2"/>
    </row>
    <row r="157" spans="2:16" s="23" customFormat="1" ht="78" customHeight="1">
      <c r="B157" s="24"/>
      <c r="C157" s="2"/>
      <c r="D157" s="2"/>
      <c r="E157" s="2"/>
      <c r="F157" s="27"/>
      <c r="G157" s="27"/>
      <c r="H157" s="2"/>
      <c r="I157" s="2"/>
      <c r="J157" s="2"/>
      <c r="K157" s="2"/>
      <c r="L157" s="2"/>
      <c r="M157" s="25"/>
      <c r="N157" s="2"/>
      <c r="O157" s="2"/>
      <c r="P157" s="2"/>
    </row>
    <row r="158" spans="2:16" s="23" customFormat="1" ht="78" customHeight="1">
      <c r="B158" s="24"/>
      <c r="C158" s="2"/>
      <c r="D158" s="2"/>
      <c r="E158" s="2"/>
      <c r="F158" s="27"/>
      <c r="G158" s="27"/>
      <c r="H158" s="2"/>
      <c r="I158" s="2"/>
      <c r="J158" s="2"/>
      <c r="K158" s="2"/>
      <c r="L158" s="2"/>
      <c r="M158" s="25"/>
      <c r="N158" s="2"/>
      <c r="O158" s="2"/>
      <c r="P158" s="2"/>
    </row>
    <row r="159" spans="2:16" s="23" customFormat="1" ht="78" customHeight="1">
      <c r="B159" s="24"/>
      <c r="C159" s="2"/>
      <c r="D159" s="2"/>
      <c r="E159" s="2"/>
      <c r="F159" s="27"/>
      <c r="G159" s="27"/>
      <c r="H159" s="2"/>
      <c r="I159" s="2"/>
      <c r="J159" s="2"/>
      <c r="K159" s="2"/>
      <c r="L159" s="2"/>
      <c r="M159" s="25"/>
      <c r="N159" s="2"/>
      <c r="O159" s="2"/>
      <c r="P159" s="2"/>
    </row>
  </sheetData>
  <sheetProtection/>
  <autoFilter ref="A8:P47"/>
  <mergeCells count="19">
    <mergeCell ref="N35:N36"/>
    <mergeCell ref="N37:N41"/>
    <mergeCell ref="P13:P14"/>
    <mergeCell ref="P6:P7"/>
    <mergeCell ref="A9:B9"/>
    <mergeCell ref="K6:L6"/>
    <mergeCell ref="M6:M7"/>
    <mergeCell ref="N6:N7"/>
    <mergeCell ref="O6:O7"/>
    <mergeCell ref="A1:P1"/>
    <mergeCell ref="A2:P2"/>
    <mergeCell ref="A3:P3"/>
    <mergeCell ref="A4:P4"/>
    <mergeCell ref="A6:A7"/>
    <mergeCell ref="B6:B7"/>
    <mergeCell ref="C6:E6"/>
    <mergeCell ref="F6:H6"/>
    <mergeCell ref="I6:I7"/>
    <mergeCell ref="J6:J7"/>
  </mergeCells>
  <printOptions/>
  <pageMargins left="0.25" right="0.25" top="0.75" bottom="0.34" header="0.3" footer="0.18"/>
  <pageSetup horizontalDpi="600" verticalDpi="600" orientation="landscape" paperSize="8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AN88"/>
  <sheetViews>
    <sheetView view="pageBreakPreview" zoomScale="40" zoomScaleNormal="76" zoomScaleSheetLayoutView="40" zoomScalePageLayoutView="0" workbookViewId="0" topLeftCell="A1">
      <pane ySplit="5" topLeftCell="A27" activePane="bottomLeft" state="frozen"/>
      <selection pane="topLeft" activeCell="A1" sqref="A1"/>
      <selection pane="bottomLeft" activeCell="T29" sqref="T29"/>
    </sheetView>
  </sheetViews>
  <sheetFormatPr defaultColWidth="9.140625" defaultRowHeight="12.75"/>
  <cols>
    <col min="1" max="1" width="12.7109375" style="630" bestFit="1" customWidth="1"/>
    <col min="2" max="2" width="52.7109375" style="631" customWidth="1"/>
    <col min="3" max="4" width="9.7109375" style="388" customWidth="1"/>
    <col min="5" max="5" width="12.7109375" style="388" customWidth="1"/>
    <col min="6" max="6" width="10.28125" style="388" customWidth="1"/>
    <col min="7" max="7" width="17.57421875" style="388" customWidth="1"/>
    <col min="8" max="11" width="17.7109375" style="388" customWidth="1"/>
    <col min="12" max="12" width="17.8515625" style="388" customWidth="1"/>
    <col min="13" max="13" width="14.28125" style="632" customWidth="1"/>
    <col min="14" max="14" width="14.28125" style="388" customWidth="1"/>
    <col min="15" max="15" width="21.140625" style="388" customWidth="1"/>
    <col min="16" max="16" width="21.7109375" style="388" customWidth="1"/>
    <col min="17" max="17" width="19.7109375" style="388" customWidth="1"/>
    <col min="18" max="18" width="11.57421875" style="388" customWidth="1"/>
    <col min="19" max="19" width="14.57421875" style="388" customWidth="1"/>
    <col min="20" max="20" width="16.57421875" style="388" customWidth="1"/>
    <col min="21" max="21" width="19.28125" style="388" customWidth="1"/>
    <col min="22" max="22" width="13.7109375" style="388" customWidth="1"/>
    <col min="23" max="23" width="19.28125" style="388" customWidth="1"/>
    <col min="24" max="24" width="22.8515625" style="388" customWidth="1"/>
    <col min="25" max="25" width="9.7109375" style="632" customWidth="1"/>
    <col min="26" max="26" width="19.28125" style="512" customWidth="1"/>
    <col min="27" max="28" width="21.7109375" style="630" customWidth="1"/>
    <col min="29" max="29" width="15.140625" style="388" customWidth="1"/>
    <col min="30" max="31" width="0" style="512" hidden="1" customWidth="1"/>
    <col min="32" max="32" width="20.00390625" style="512" hidden="1" customWidth="1"/>
    <col min="33" max="33" width="0" style="512" hidden="1" customWidth="1"/>
    <col min="34" max="34" width="24.57421875" style="512" hidden="1" customWidth="1"/>
    <col min="35" max="36" width="9.140625" style="512" customWidth="1"/>
    <col min="37" max="37" width="20.421875" style="512" customWidth="1"/>
    <col min="38" max="40" width="9.140625" style="512" customWidth="1"/>
    <col min="41" max="16384" width="9.140625" style="388" customWidth="1"/>
  </cols>
  <sheetData>
    <row r="1" spans="1:33" ht="35.25" customHeight="1">
      <c r="A1" s="958" t="s">
        <v>293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497"/>
      <c r="AE1" s="497"/>
      <c r="AF1" s="497"/>
      <c r="AG1" s="497"/>
    </row>
    <row r="2" spans="1:33" ht="35.25" customHeight="1">
      <c r="A2" s="958" t="s">
        <v>48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497"/>
      <c r="AE2" s="497"/>
      <c r="AF2" s="497"/>
      <c r="AG2" s="497"/>
    </row>
    <row r="3" spans="1:33" ht="35.25" customHeight="1">
      <c r="A3" s="958" t="s">
        <v>239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497"/>
      <c r="AE3" s="497"/>
      <c r="AF3" s="497"/>
      <c r="AG3" s="497"/>
    </row>
    <row r="4" spans="1:33" ht="137.25" customHeight="1">
      <c r="A4" s="959" t="s">
        <v>136</v>
      </c>
      <c r="B4" s="959" t="s">
        <v>8</v>
      </c>
      <c r="C4" s="961" t="s">
        <v>27</v>
      </c>
      <c r="D4" s="961"/>
      <c r="E4" s="961"/>
      <c r="F4" s="961"/>
      <c r="G4" s="959" t="s">
        <v>9</v>
      </c>
      <c r="H4" s="963" t="s">
        <v>148</v>
      </c>
      <c r="I4" s="964"/>
      <c r="J4" s="964"/>
      <c r="K4" s="965"/>
      <c r="L4" s="620" t="s">
        <v>392</v>
      </c>
      <c r="M4" s="959" t="s">
        <v>14</v>
      </c>
      <c r="N4" s="976" t="s">
        <v>15</v>
      </c>
      <c r="O4" s="966" t="s">
        <v>22</v>
      </c>
      <c r="P4" s="967"/>
      <c r="Q4" s="966" t="s">
        <v>10</v>
      </c>
      <c r="R4" s="980"/>
      <c r="S4" s="980"/>
      <c r="T4" s="980"/>
      <c r="U4" s="980"/>
      <c r="V4" s="967"/>
      <c r="W4" s="975" t="s">
        <v>24</v>
      </c>
      <c r="X4" s="975"/>
      <c r="Y4" s="975"/>
      <c r="Z4" s="975"/>
      <c r="AA4" s="968" t="s">
        <v>16</v>
      </c>
      <c r="AB4" s="970" t="s">
        <v>17</v>
      </c>
      <c r="AC4" s="961" t="s">
        <v>7</v>
      </c>
      <c r="AD4" s="497"/>
      <c r="AE4" s="497"/>
      <c r="AF4" s="497"/>
      <c r="AG4" s="497"/>
    </row>
    <row r="5" spans="1:33" ht="292.5" customHeight="1">
      <c r="A5" s="960"/>
      <c r="B5" s="960"/>
      <c r="C5" s="621" t="s">
        <v>247</v>
      </c>
      <c r="D5" s="621" t="s">
        <v>248</v>
      </c>
      <c r="E5" s="622" t="s">
        <v>4</v>
      </c>
      <c r="F5" s="621" t="s">
        <v>18</v>
      </c>
      <c r="G5" s="960"/>
      <c r="H5" s="620" t="s">
        <v>202</v>
      </c>
      <c r="I5" s="620" t="s">
        <v>146</v>
      </c>
      <c r="J5" s="620" t="s">
        <v>294</v>
      </c>
      <c r="K5" s="620" t="s">
        <v>292</v>
      </c>
      <c r="L5" s="620" t="s">
        <v>146</v>
      </c>
      <c r="M5" s="960"/>
      <c r="N5" s="977"/>
      <c r="O5" s="620" t="s">
        <v>12</v>
      </c>
      <c r="P5" s="623" t="s">
        <v>21</v>
      </c>
      <c r="Q5" s="624" t="s">
        <v>11</v>
      </c>
      <c r="R5" s="625" t="s">
        <v>20</v>
      </c>
      <c r="S5" s="624" t="s">
        <v>19</v>
      </c>
      <c r="T5" s="624" t="s">
        <v>12</v>
      </c>
      <c r="U5" s="626" t="s">
        <v>13</v>
      </c>
      <c r="V5" s="626" t="s">
        <v>286</v>
      </c>
      <c r="W5" s="626" t="s">
        <v>28</v>
      </c>
      <c r="X5" s="626" t="s">
        <v>295</v>
      </c>
      <c r="Y5" s="626" t="s">
        <v>25</v>
      </c>
      <c r="Z5" s="624" t="s">
        <v>23</v>
      </c>
      <c r="AA5" s="969"/>
      <c r="AB5" s="971"/>
      <c r="AC5" s="961"/>
      <c r="AD5" s="497"/>
      <c r="AE5" s="497"/>
      <c r="AF5" s="497"/>
      <c r="AG5" s="497"/>
    </row>
    <row r="6" spans="1:33" ht="21.75" customHeight="1">
      <c r="A6" s="627">
        <v>1</v>
      </c>
      <c r="B6" s="628">
        <v>2</v>
      </c>
      <c r="C6" s="627">
        <v>3</v>
      </c>
      <c r="D6" s="627">
        <v>4</v>
      </c>
      <c r="E6" s="627">
        <v>5</v>
      </c>
      <c r="F6" s="627">
        <v>6</v>
      </c>
      <c r="G6" s="627">
        <v>7</v>
      </c>
      <c r="H6" s="627"/>
      <c r="I6" s="627"/>
      <c r="J6" s="627"/>
      <c r="K6" s="627"/>
      <c r="L6" s="627"/>
      <c r="M6" s="627">
        <v>11</v>
      </c>
      <c r="N6" s="627">
        <v>12</v>
      </c>
      <c r="O6" s="627">
        <v>14</v>
      </c>
      <c r="P6" s="627">
        <v>15</v>
      </c>
      <c r="Q6" s="627">
        <v>17</v>
      </c>
      <c r="R6" s="627">
        <v>18</v>
      </c>
      <c r="S6" s="627">
        <v>19</v>
      </c>
      <c r="T6" s="627">
        <v>20</v>
      </c>
      <c r="U6" s="627">
        <v>21</v>
      </c>
      <c r="V6" s="627"/>
      <c r="W6" s="627">
        <v>22</v>
      </c>
      <c r="X6" s="627">
        <v>23</v>
      </c>
      <c r="Y6" s="627">
        <v>25</v>
      </c>
      <c r="Z6" s="627">
        <v>26</v>
      </c>
      <c r="AA6" s="629">
        <v>27</v>
      </c>
      <c r="AB6" s="627">
        <v>28</v>
      </c>
      <c r="AC6" s="627">
        <v>29</v>
      </c>
      <c r="AD6" s="497"/>
      <c r="AE6" s="497"/>
      <c r="AF6" s="497"/>
      <c r="AG6" s="497"/>
    </row>
    <row r="7" spans="1:40" s="640" customFormat="1" ht="81" customHeight="1">
      <c r="A7" s="978"/>
      <c r="B7" s="979"/>
      <c r="C7" s="634"/>
      <c r="D7" s="634"/>
      <c r="E7" s="634"/>
      <c r="F7" s="634"/>
      <c r="G7" s="634"/>
      <c r="H7" s="635">
        <f aca="true" t="shared" si="0" ref="H7:P7">H8+H22</f>
        <v>1991</v>
      </c>
      <c r="I7" s="635">
        <f t="shared" si="0"/>
        <v>1548.5</v>
      </c>
      <c r="J7" s="635">
        <f t="shared" si="0"/>
        <v>216.7</v>
      </c>
      <c r="K7" s="635">
        <f t="shared" si="0"/>
        <v>919.1</v>
      </c>
      <c r="L7" s="635">
        <f t="shared" si="0"/>
        <v>0.8</v>
      </c>
      <c r="M7" s="635">
        <f t="shared" si="0"/>
        <v>4676.1</v>
      </c>
      <c r="N7" s="635">
        <f t="shared" si="0"/>
        <v>4676.1</v>
      </c>
      <c r="O7" s="636">
        <f t="shared" si="0"/>
        <v>1405000</v>
      </c>
      <c r="P7" s="636">
        <f t="shared" si="0"/>
        <v>273803500</v>
      </c>
      <c r="Q7" s="635"/>
      <c r="R7" s="635">
        <f>R8+R22</f>
        <v>4047.12</v>
      </c>
      <c r="S7" s="635"/>
      <c r="T7" s="636">
        <f>T8+T22</f>
        <v>10212200</v>
      </c>
      <c r="U7" s="636">
        <f>U8+U22</f>
        <v>216642220</v>
      </c>
      <c r="V7" s="636"/>
      <c r="W7" s="636">
        <f aca="true" t="shared" si="1" ref="W7:AB7">W8+W22</f>
        <v>44003700</v>
      </c>
      <c r="X7" s="636">
        <f t="shared" si="1"/>
        <v>821410500</v>
      </c>
      <c r="Y7" s="636">
        <f t="shared" si="1"/>
        <v>19</v>
      </c>
      <c r="Z7" s="636">
        <f t="shared" si="1"/>
        <v>66500000</v>
      </c>
      <c r="AA7" s="636">
        <f t="shared" si="1"/>
        <v>1422359920</v>
      </c>
      <c r="AB7" s="636">
        <f t="shared" si="1"/>
        <v>1422359920</v>
      </c>
      <c r="AC7" s="634"/>
      <c r="AD7" s="637"/>
      <c r="AE7" s="637"/>
      <c r="AF7" s="637"/>
      <c r="AG7" s="637"/>
      <c r="AH7" s="539" t="e">
        <f>R7-#REF!</f>
        <v>#REF!</v>
      </c>
      <c r="AI7" s="638"/>
      <c r="AJ7" s="638"/>
      <c r="AK7" s="639" t="e">
        <f>AB7-#REF!</f>
        <v>#REF!</v>
      </c>
      <c r="AL7" s="638"/>
      <c r="AM7" s="638"/>
      <c r="AN7" s="638"/>
    </row>
    <row r="8" spans="1:40" s="645" customFormat="1" ht="74.25" customHeight="1">
      <c r="A8" s="663">
        <v>8</v>
      </c>
      <c r="B8" s="641" t="s">
        <v>41</v>
      </c>
      <c r="C8" s="663"/>
      <c r="D8" s="663"/>
      <c r="E8" s="642"/>
      <c r="F8" s="663"/>
      <c r="G8" s="666"/>
      <c r="H8" s="666">
        <f aca="true" t="shared" si="2" ref="H8:P8">SUM(H9:H21)</f>
        <v>1047.3</v>
      </c>
      <c r="I8" s="666">
        <f t="shared" si="2"/>
        <v>490.59999999999997</v>
      </c>
      <c r="J8" s="666">
        <f t="shared" si="2"/>
        <v>216.7</v>
      </c>
      <c r="K8" s="666">
        <f t="shared" si="2"/>
        <v>0</v>
      </c>
      <c r="L8" s="666">
        <f t="shared" si="2"/>
        <v>0.8</v>
      </c>
      <c r="M8" s="666">
        <f t="shared" si="2"/>
        <v>1755.3999999999999</v>
      </c>
      <c r="N8" s="666">
        <f t="shared" si="2"/>
        <v>1755.4</v>
      </c>
      <c r="O8" s="665">
        <f t="shared" si="2"/>
        <v>710000</v>
      </c>
      <c r="P8" s="665">
        <f t="shared" si="2"/>
        <v>103157000</v>
      </c>
      <c r="Q8" s="666"/>
      <c r="R8" s="666">
        <f>SUM(R9:R21)</f>
        <v>1733.1999999999998</v>
      </c>
      <c r="S8" s="666"/>
      <c r="T8" s="665">
        <f>SUM(T9:T21)</f>
        <v>271700</v>
      </c>
      <c r="U8" s="665">
        <f>SUM(U9:U21)</f>
        <v>22437540</v>
      </c>
      <c r="V8" s="665"/>
      <c r="W8" s="665">
        <f>SUM(W9:W21)</f>
        <v>17554000</v>
      </c>
      <c r="X8" s="665">
        <f>SUM(X9:X21)</f>
        <v>309471000</v>
      </c>
      <c r="Y8" s="666">
        <f>SUM(Y9:Y21)</f>
        <v>5</v>
      </c>
      <c r="Z8" s="665">
        <f>SUM(Z9:Z21)</f>
        <v>17500000</v>
      </c>
      <c r="AA8" s="665">
        <f>SUM(AA9:AA21)</f>
        <v>470119540</v>
      </c>
      <c r="AB8" s="665">
        <f>AA8</f>
        <v>470119540</v>
      </c>
      <c r="AC8" s="643"/>
      <c r="AD8" s="644"/>
      <c r="AE8" s="644"/>
      <c r="AF8" s="644"/>
      <c r="AG8" s="644"/>
      <c r="AH8" s="644"/>
      <c r="AI8" s="644"/>
      <c r="AJ8" s="644"/>
      <c r="AK8" s="644"/>
      <c r="AL8" s="644"/>
      <c r="AM8" s="644"/>
      <c r="AN8" s="644"/>
    </row>
    <row r="9" spans="1:40" s="655" customFormat="1" ht="78" customHeight="1">
      <c r="A9" s="646">
        <v>1</v>
      </c>
      <c r="B9" s="647" t="s">
        <v>297</v>
      </c>
      <c r="C9" s="643">
        <v>51</v>
      </c>
      <c r="D9" s="643">
        <v>72</v>
      </c>
      <c r="E9" s="643">
        <v>328.2</v>
      </c>
      <c r="F9" s="643" t="s">
        <v>0</v>
      </c>
      <c r="G9" s="643" t="s">
        <v>43</v>
      </c>
      <c r="H9" s="648">
        <v>92.1</v>
      </c>
      <c r="I9" s="648"/>
      <c r="J9" s="648"/>
      <c r="K9" s="648"/>
      <c r="L9" s="648"/>
      <c r="M9" s="643">
        <f aca="true" t="shared" si="3" ref="M9:M21">SUM(H9:L9)</f>
        <v>92.1</v>
      </c>
      <c r="N9" s="649">
        <f>M9</f>
        <v>92.1</v>
      </c>
      <c r="O9" s="650">
        <v>60000</v>
      </c>
      <c r="P9" s="650">
        <f aca="true" t="shared" si="4" ref="P9:P16">M9*O9</f>
        <v>5526000</v>
      </c>
      <c r="Q9" s="649" t="s">
        <v>30</v>
      </c>
      <c r="R9" s="649">
        <f>M9</f>
        <v>92.1</v>
      </c>
      <c r="S9" s="649" t="s">
        <v>378</v>
      </c>
      <c r="T9" s="650">
        <v>9500</v>
      </c>
      <c r="U9" s="650">
        <f aca="true" t="shared" si="5" ref="U9:U16">R9*T9*V9</f>
        <v>874950</v>
      </c>
      <c r="V9" s="651">
        <v>1</v>
      </c>
      <c r="W9" s="650">
        <f aca="true" t="shared" si="6" ref="W9:W21">M9*10000</f>
        <v>921000</v>
      </c>
      <c r="X9" s="650">
        <f aca="true" t="shared" si="7" ref="X9:X21">M9*O9*3</f>
        <v>16578000</v>
      </c>
      <c r="Y9" s="650">
        <f>INT(N9/176.4)</f>
        <v>0</v>
      </c>
      <c r="Z9" s="652">
        <f>Y9*3500000</f>
        <v>0</v>
      </c>
      <c r="AA9" s="650">
        <f aca="true" t="shared" si="8" ref="AA9:AA21">P9+U9+W9+X9+Z9</f>
        <v>23899950</v>
      </c>
      <c r="AB9" s="650">
        <f>AA9</f>
        <v>23899950</v>
      </c>
      <c r="AC9" s="653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</row>
    <row r="10" spans="1:40" s="655" customFormat="1" ht="78" customHeight="1">
      <c r="A10" s="646">
        <v>2</v>
      </c>
      <c r="B10" s="647" t="s">
        <v>298</v>
      </c>
      <c r="C10" s="643">
        <v>51</v>
      </c>
      <c r="D10" s="643">
        <v>72</v>
      </c>
      <c r="E10" s="643">
        <v>328.2</v>
      </c>
      <c r="F10" s="643" t="s">
        <v>0</v>
      </c>
      <c r="G10" s="643" t="s">
        <v>43</v>
      </c>
      <c r="H10" s="648">
        <v>236.1</v>
      </c>
      <c r="I10" s="648"/>
      <c r="J10" s="648"/>
      <c r="K10" s="648"/>
      <c r="L10" s="648"/>
      <c r="M10" s="643">
        <f t="shared" si="3"/>
        <v>236.1</v>
      </c>
      <c r="N10" s="649">
        <f>SUM(M10:M12)</f>
        <v>692.8</v>
      </c>
      <c r="O10" s="650">
        <v>60000</v>
      </c>
      <c r="P10" s="650">
        <f t="shared" si="4"/>
        <v>14166000</v>
      </c>
      <c r="Q10" s="649" t="s">
        <v>30</v>
      </c>
      <c r="R10" s="649">
        <f>M10</f>
        <v>236.1</v>
      </c>
      <c r="S10" s="649" t="s">
        <v>379</v>
      </c>
      <c r="T10" s="650">
        <v>9500</v>
      </c>
      <c r="U10" s="650">
        <f t="shared" si="5"/>
        <v>2242950</v>
      </c>
      <c r="V10" s="651">
        <v>1</v>
      </c>
      <c r="W10" s="650">
        <f t="shared" si="6"/>
        <v>2361000</v>
      </c>
      <c r="X10" s="650">
        <f t="shared" si="7"/>
        <v>42498000</v>
      </c>
      <c r="Y10" s="650">
        <f>INT(N10/176.4)</f>
        <v>3</v>
      </c>
      <c r="Z10" s="652">
        <f>Y10*3500000</f>
        <v>10500000</v>
      </c>
      <c r="AA10" s="650">
        <f t="shared" si="8"/>
        <v>71767950</v>
      </c>
      <c r="AB10" s="665">
        <f>SUM(AA10:AA13)</f>
        <v>186848740</v>
      </c>
      <c r="AC10" s="653"/>
      <c r="AD10" s="654"/>
      <c r="AE10" s="654"/>
      <c r="AF10" s="654"/>
      <c r="AG10" s="654"/>
      <c r="AH10" s="654"/>
      <c r="AI10" s="654"/>
      <c r="AJ10" s="654"/>
      <c r="AK10" s="654"/>
      <c r="AL10" s="654"/>
      <c r="AM10" s="654"/>
      <c r="AN10" s="654"/>
    </row>
    <row r="11" spans="1:40" s="655" customFormat="1" ht="78" customHeight="1">
      <c r="A11" s="646">
        <v>2</v>
      </c>
      <c r="B11" s="647" t="s">
        <v>298</v>
      </c>
      <c r="C11" s="643">
        <v>47</v>
      </c>
      <c r="D11" s="643">
        <v>72</v>
      </c>
      <c r="E11" s="643">
        <v>216.7</v>
      </c>
      <c r="F11" s="643" t="s">
        <v>299</v>
      </c>
      <c r="G11" s="643" t="s">
        <v>43</v>
      </c>
      <c r="H11" s="656"/>
      <c r="I11" s="648"/>
      <c r="J11" s="643">
        <v>216.7</v>
      </c>
      <c r="K11" s="643"/>
      <c r="L11" s="643"/>
      <c r="M11" s="643">
        <f t="shared" si="3"/>
        <v>216.7</v>
      </c>
      <c r="N11" s="649"/>
      <c r="O11" s="650">
        <v>50000</v>
      </c>
      <c r="P11" s="650">
        <f t="shared" si="4"/>
        <v>10835000</v>
      </c>
      <c r="Q11" s="657" t="s">
        <v>300</v>
      </c>
      <c r="R11" s="649">
        <f>J11</f>
        <v>216.7</v>
      </c>
      <c r="S11" s="649" t="s">
        <v>378</v>
      </c>
      <c r="T11" s="650">
        <v>13700</v>
      </c>
      <c r="U11" s="650">
        <f t="shared" si="5"/>
        <v>2968790</v>
      </c>
      <c r="V11" s="651">
        <v>1</v>
      </c>
      <c r="W11" s="650">
        <f t="shared" si="6"/>
        <v>2167000</v>
      </c>
      <c r="X11" s="650">
        <f t="shared" si="7"/>
        <v>32505000</v>
      </c>
      <c r="Y11" s="650">
        <f>INT(N11/176.4)</f>
        <v>0</v>
      </c>
      <c r="Z11" s="652">
        <f>Y11*3500000</f>
        <v>0</v>
      </c>
      <c r="AA11" s="650">
        <f t="shared" si="8"/>
        <v>48475790</v>
      </c>
      <c r="AB11" s="650"/>
      <c r="AC11" s="658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</row>
    <row r="12" spans="1:40" s="655" customFormat="1" ht="78" customHeight="1">
      <c r="A12" s="646">
        <v>2</v>
      </c>
      <c r="B12" s="647" t="s">
        <v>373</v>
      </c>
      <c r="C12" s="643">
        <v>157</v>
      </c>
      <c r="D12" s="643">
        <v>72</v>
      </c>
      <c r="E12" s="643">
        <v>524.5</v>
      </c>
      <c r="F12" s="643" t="s">
        <v>45</v>
      </c>
      <c r="G12" s="643" t="s">
        <v>44</v>
      </c>
      <c r="H12" s="643">
        <v>240</v>
      </c>
      <c r="I12" s="648"/>
      <c r="J12" s="643"/>
      <c r="K12" s="643"/>
      <c r="L12" s="643"/>
      <c r="M12" s="643">
        <f t="shared" si="3"/>
        <v>240</v>
      </c>
      <c r="N12" s="649"/>
      <c r="O12" s="650">
        <v>60000</v>
      </c>
      <c r="P12" s="650">
        <f>M12*O12</f>
        <v>14400000</v>
      </c>
      <c r="Q12" s="649" t="s">
        <v>30</v>
      </c>
      <c r="R12" s="649">
        <f>M12-R13</f>
        <v>190</v>
      </c>
      <c r="S12" s="649" t="s">
        <v>379</v>
      </c>
      <c r="T12" s="650">
        <v>9500</v>
      </c>
      <c r="U12" s="650">
        <f>R12*T12*V12</f>
        <v>1805000</v>
      </c>
      <c r="V12" s="651">
        <v>1</v>
      </c>
      <c r="W12" s="650">
        <f>M12*10000</f>
        <v>2400000</v>
      </c>
      <c r="X12" s="650">
        <f>M12*O12*3</f>
        <v>43200000</v>
      </c>
      <c r="Y12" s="650">
        <f>INT(N12/176.4)</f>
        <v>0</v>
      </c>
      <c r="Z12" s="652">
        <f>Y12*3500000</f>
        <v>0</v>
      </c>
      <c r="AA12" s="650">
        <f>P12+U12+W12+X12+Z12</f>
        <v>61805000</v>
      </c>
      <c r="AB12" s="665"/>
      <c r="AC12" s="658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</row>
    <row r="13" spans="1:40" s="655" customFormat="1" ht="76.5" customHeight="1">
      <c r="A13" s="643"/>
      <c r="B13" s="647"/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9"/>
      <c r="O13" s="650"/>
      <c r="P13" s="650"/>
      <c r="Q13" s="649" t="s">
        <v>372</v>
      </c>
      <c r="R13" s="649">
        <v>50</v>
      </c>
      <c r="S13" s="649" t="s">
        <v>379</v>
      </c>
      <c r="T13" s="650">
        <v>120000</v>
      </c>
      <c r="U13" s="650">
        <f>R13*T13*V13</f>
        <v>4800000</v>
      </c>
      <c r="V13" s="651">
        <v>0.8</v>
      </c>
      <c r="W13" s="650"/>
      <c r="X13" s="650"/>
      <c r="Y13" s="650"/>
      <c r="Z13" s="652"/>
      <c r="AA13" s="650">
        <f t="shared" si="8"/>
        <v>4800000</v>
      </c>
      <c r="AB13" s="665"/>
      <c r="AC13" s="658"/>
      <c r="AD13" s="654"/>
      <c r="AE13" s="654"/>
      <c r="AF13" s="654"/>
      <c r="AG13" s="654"/>
      <c r="AH13" s="654"/>
      <c r="AI13" s="654"/>
      <c r="AJ13" s="654"/>
      <c r="AK13" s="654"/>
      <c r="AL13" s="654"/>
      <c r="AM13" s="654"/>
      <c r="AN13" s="654"/>
    </row>
    <row r="14" spans="1:40" s="655" customFormat="1" ht="78" customHeight="1">
      <c r="A14" s="646">
        <v>3</v>
      </c>
      <c r="B14" s="647" t="s">
        <v>301</v>
      </c>
      <c r="C14" s="643">
        <v>26</v>
      </c>
      <c r="D14" s="643">
        <v>81</v>
      </c>
      <c r="E14" s="643">
        <v>110.8</v>
      </c>
      <c r="F14" s="643" t="s">
        <v>0</v>
      </c>
      <c r="G14" s="643" t="s">
        <v>37</v>
      </c>
      <c r="H14" s="648"/>
      <c r="I14" s="648">
        <v>110.8</v>
      </c>
      <c r="J14" s="648"/>
      <c r="K14" s="648"/>
      <c r="L14" s="648"/>
      <c r="M14" s="643">
        <f t="shared" si="3"/>
        <v>110.8</v>
      </c>
      <c r="N14" s="649">
        <f>M14</f>
        <v>110.8</v>
      </c>
      <c r="O14" s="650">
        <v>60000</v>
      </c>
      <c r="P14" s="650">
        <f t="shared" si="4"/>
        <v>6648000</v>
      </c>
      <c r="Q14" s="649" t="s">
        <v>30</v>
      </c>
      <c r="R14" s="649">
        <f aca="true" t="shared" si="9" ref="R14:R20">M14</f>
        <v>110.8</v>
      </c>
      <c r="S14" s="649" t="s">
        <v>379</v>
      </c>
      <c r="T14" s="650">
        <v>9500</v>
      </c>
      <c r="U14" s="650">
        <f t="shared" si="5"/>
        <v>1052600</v>
      </c>
      <c r="V14" s="651">
        <v>1</v>
      </c>
      <c r="W14" s="650">
        <f t="shared" si="6"/>
        <v>1108000</v>
      </c>
      <c r="X14" s="650">
        <f t="shared" si="7"/>
        <v>19944000</v>
      </c>
      <c r="Y14" s="650">
        <f aca="true" t="shared" si="10" ref="Y14:Y21">INT(N14/176.4)</f>
        <v>0</v>
      </c>
      <c r="Z14" s="652">
        <f aca="true" t="shared" si="11" ref="Z14:Z21">Y14*3500000</f>
        <v>0</v>
      </c>
      <c r="AA14" s="650">
        <f t="shared" si="8"/>
        <v>28752600</v>
      </c>
      <c r="AB14" s="650">
        <f>AA14</f>
        <v>28752600</v>
      </c>
      <c r="AC14" s="653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</row>
    <row r="15" spans="1:40" s="655" customFormat="1" ht="78" customHeight="1">
      <c r="A15" s="646">
        <v>4</v>
      </c>
      <c r="B15" s="647" t="s">
        <v>302</v>
      </c>
      <c r="C15" s="643">
        <v>38</v>
      </c>
      <c r="D15" s="643">
        <v>81</v>
      </c>
      <c r="E15" s="643">
        <v>173.9</v>
      </c>
      <c r="F15" s="643" t="s">
        <v>0</v>
      </c>
      <c r="G15" s="643" t="s">
        <v>37</v>
      </c>
      <c r="H15" s="656"/>
      <c r="I15" s="648">
        <v>173.9</v>
      </c>
      <c r="J15" s="643"/>
      <c r="K15" s="643"/>
      <c r="L15" s="643"/>
      <c r="M15" s="643">
        <f t="shared" si="3"/>
        <v>173.9</v>
      </c>
      <c r="N15" s="649">
        <f>M15</f>
        <v>173.9</v>
      </c>
      <c r="O15" s="650">
        <v>60000</v>
      </c>
      <c r="P15" s="650">
        <f t="shared" si="4"/>
        <v>10434000</v>
      </c>
      <c r="Q15" s="649" t="s">
        <v>30</v>
      </c>
      <c r="R15" s="649">
        <f t="shared" si="9"/>
        <v>173.9</v>
      </c>
      <c r="S15" s="649" t="s">
        <v>379</v>
      </c>
      <c r="T15" s="650">
        <v>9500</v>
      </c>
      <c r="U15" s="650">
        <f t="shared" si="5"/>
        <v>1652050</v>
      </c>
      <c r="V15" s="651">
        <v>1</v>
      </c>
      <c r="W15" s="650">
        <f t="shared" si="6"/>
        <v>1739000</v>
      </c>
      <c r="X15" s="650">
        <f t="shared" si="7"/>
        <v>31302000</v>
      </c>
      <c r="Y15" s="650">
        <f t="shared" si="10"/>
        <v>0</v>
      </c>
      <c r="Z15" s="652">
        <f t="shared" si="11"/>
        <v>0</v>
      </c>
      <c r="AA15" s="650">
        <f t="shared" si="8"/>
        <v>45127050</v>
      </c>
      <c r="AB15" s="665">
        <f>AA15</f>
        <v>45127050</v>
      </c>
      <c r="AC15" s="658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</row>
    <row r="16" spans="1:40" s="655" customFormat="1" ht="78" customHeight="1">
      <c r="A16" s="646">
        <v>5</v>
      </c>
      <c r="B16" s="647" t="s">
        <v>303</v>
      </c>
      <c r="C16" s="643">
        <v>17</v>
      </c>
      <c r="D16" s="643">
        <v>81</v>
      </c>
      <c r="E16" s="643">
        <v>261.7</v>
      </c>
      <c r="F16" s="643" t="s">
        <v>0</v>
      </c>
      <c r="G16" s="643" t="s">
        <v>296</v>
      </c>
      <c r="H16" s="648">
        <f>E16</f>
        <v>261.7</v>
      </c>
      <c r="I16" s="648"/>
      <c r="J16" s="648"/>
      <c r="K16" s="648"/>
      <c r="L16" s="648"/>
      <c r="M16" s="643">
        <f t="shared" si="3"/>
        <v>261.7</v>
      </c>
      <c r="N16" s="649">
        <f>M16</f>
        <v>261.7</v>
      </c>
      <c r="O16" s="650">
        <v>60000</v>
      </c>
      <c r="P16" s="650">
        <f t="shared" si="4"/>
        <v>15702000</v>
      </c>
      <c r="Q16" s="649" t="s">
        <v>30</v>
      </c>
      <c r="R16" s="649">
        <f t="shared" si="9"/>
        <v>261.7</v>
      </c>
      <c r="S16" s="649" t="s">
        <v>379</v>
      </c>
      <c r="T16" s="650">
        <v>9500</v>
      </c>
      <c r="U16" s="650">
        <f t="shared" si="5"/>
        <v>2486150</v>
      </c>
      <c r="V16" s="651">
        <v>1</v>
      </c>
      <c r="W16" s="650">
        <f t="shared" si="6"/>
        <v>2617000</v>
      </c>
      <c r="X16" s="650">
        <f t="shared" si="7"/>
        <v>47106000</v>
      </c>
      <c r="Y16" s="650">
        <f t="shared" si="10"/>
        <v>1</v>
      </c>
      <c r="Z16" s="652">
        <f t="shared" si="11"/>
        <v>3500000</v>
      </c>
      <c r="AA16" s="650">
        <f t="shared" si="8"/>
        <v>71411150</v>
      </c>
      <c r="AB16" s="650">
        <f>AA16</f>
        <v>71411150</v>
      </c>
      <c r="AC16" s="658"/>
      <c r="AD16" s="654"/>
      <c r="AE16" s="654"/>
      <c r="AF16" s="654"/>
      <c r="AG16" s="654"/>
      <c r="AH16" s="654"/>
      <c r="AI16" s="654"/>
      <c r="AJ16" s="654"/>
      <c r="AK16" s="654"/>
      <c r="AL16" s="654"/>
      <c r="AM16" s="654"/>
      <c r="AN16" s="654"/>
    </row>
    <row r="17" spans="1:40" s="655" customFormat="1" ht="120" customHeight="1">
      <c r="A17" s="646">
        <v>6</v>
      </c>
      <c r="B17" s="659" t="s">
        <v>221</v>
      </c>
      <c r="C17" s="643">
        <v>8</v>
      </c>
      <c r="D17" s="643">
        <v>72</v>
      </c>
      <c r="E17" s="643">
        <v>254.7</v>
      </c>
      <c r="F17" s="643" t="s">
        <v>45</v>
      </c>
      <c r="G17" s="643" t="s">
        <v>288</v>
      </c>
      <c r="H17" s="643"/>
      <c r="I17" s="643">
        <v>28.2</v>
      </c>
      <c r="J17" s="643"/>
      <c r="K17" s="643"/>
      <c r="L17" s="643"/>
      <c r="M17" s="643">
        <f t="shared" si="3"/>
        <v>28.2</v>
      </c>
      <c r="N17" s="663">
        <f>M17+M18</f>
        <v>162.5</v>
      </c>
      <c r="O17" s="650">
        <v>60000</v>
      </c>
      <c r="P17" s="650">
        <f>M17*O17</f>
        <v>1692000</v>
      </c>
      <c r="Q17" s="649" t="s">
        <v>30</v>
      </c>
      <c r="R17" s="649">
        <f t="shared" si="9"/>
        <v>28.2</v>
      </c>
      <c r="S17" s="649" t="s">
        <v>379</v>
      </c>
      <c r="T17" s="650">
        <v>9500</v>
      </c>
      <c r="U17" s="650">
        <f>R17*T17*V17</f>
        <v>267900</v>
      </c>
      <c r="V17" s="651">
        <v>1</v>
      </c>
      <c r="W17" s="650">
        <f t="shared" si="6"/>
        <v>282000</v>
      </c>
      <c r="X17" s="650">
        <f t="shared" si="7"/>
        <v>5076000</v>
      </c>
      <c r="Y17" s="650">
        <f t="shared" si="10"/>
        <v>0</v>
      </c>
      <c r="Z17" s="652">
        <f t="shared" si="11"/>
        <v>0</v>
      </c>
      <c r="AA17" s="650">
        <f t="shared" si="8"/>
        <v>7317900</v>
      </c>
      <c r="AB17" s="650">
        <f>AA17+AA18</f>
        <v>42168750</v>
      </c>
      <c r="AC17" s="643"/>
      <c r="AD17" s="654"/>
      <c r="AE17" s="654"/>
      <c r="AF17" s="654"/>
      <c r="AG17" s="654"/>
      <c r="AH17" s="654"/>
      <c r="AI17" s="654"/>
      <c r="AJ17" s="654"/>
      <c r="AK17" s="654"/>
      <c r="AL17" s="654"/>
      <c r="AM17" s="654"/>
      <c r="AN17" s="654"/>
    </row>
    <row r="18" spans="1:40" s="655" customFormat="1" ht="120" customHeight="1">
      <c r="A18" s="646">
        <v>6</v>
      </c>
      <c r="B18" s="659" t="s">
        <v>221</v>
      </c>
      <c r="C18" s="643">
        <v>213</v>
      </c>
      <c r="D18" s="643">
        <v>72</v>
      </c>
      <c r="E18" s="643">
        <v>328.1</v>
      </c>
      <c r="F18" s="643" t="s">
        <v>45</v>
      </c>
      <c r="G18" s="643" t="s">
        <v>44</v>
      </c>
      <c r="H18" s="643"/>
      <c r="I18" s="643">
        <v>134.3</v>
      </c>
      <c r="J18" s="643"/>
      <c r="K18" s="643"/>
      <c r="L18" s="643"/>
      <c r="M18" s="643">
        <f t="shared" si="3"/>
        <v>134.3</v>
      </c>
      <c r="N18" s="667"/>
      <c r="O18" s="650">
        <v>60000</v>
      </c>
      <c r="P18" s="650">
        <f>M18*O18</f>
        <v>8058000.000000001</v>
      </c>
      <c r="Q18" s="649" t="s">
        <v>30</v>
      </c>
      <c r="R18" s="649">
        <f t="shared" si="9"/>
        <v>134.3</v>
      </c>
      <c r="S18" s="649" t="s">
        <v>379</v>
      </c>
      <c r="T18" s="650">
        <v>9500</v>
      </c>
      <c r="U18" s="650">
        <f>R18*T18*V18</f>
        <v>1275850</v>
      </c>
      <c r="V18" s="651">
        <v>1</v>
      </c>
      <c r="W18" s="650">
        <f t="shared" si="6"/>
        <v>1343000</v>
      </c>
      <c r="X18" s="650">
        <f t="shared" si="7"/>
        <v>24174000.000000004</v>
      </c>
      <c r="Y18" s="650">
        <f t="shared" si="10"/>
        <v>0</v>
      </c>
      <c r="Z18" s="652">
        <f t="shared" si="11"/>
        <v>0</v>
      </c>
      <c r="AA18" s="650">
        <f t="shared" si="8"/>
        <v>34850850</v>
      </c>
      <c r="AB18" s="665"/>
      <c r="AC18" s="643"/>
      <c r="AD18" s="654"/>
      <c r="AE18" s="654"/>
      <c r="AF18" s="654"/>
      <c r="AG18" s="654"/>
      <c r="AH18" s="654"/>
      <c r="AI18" s="654"/>
      <c r="AJ18" s="654"/>
      <c r="AK18" s="654"/>
      <c r="AL18" s="654"/>
      <c r="AM18" s="654"/>
      <c r="AN18" s="654"/>
    </row>
    <row r="19" spans="1:40" s="655" customFormat="1" ht="120" customHeight="1">
      <c r="A19" s="646">
        <v>7</v>
      </c>
      <c r="B19" s="659" t="s">
        <v>316</v>
      </c>
      <c r="C19" s="643">
        <v>213</v>
      </c>
      <c r="D19" s="643">
        <v>72</v>
      </c>
      <c r="E19" s="643">
        <v>328.1</v>
      </c>
      <c r="F19" s="643" t="s">
        <v>45</v>
      </c>
      <c r="G19" s="643" t="s">
        <v>44</v>
      </c>
      <c r="H19" s="643">
        <f>217.4-23.6</f>
        <v>193.8</v>
      </c>
      <c r="I19" s="643"/>
      <c r="J19" s="643"/>
      <c r="K19" s="643"/>
      <c r="L19" s="643"/>
      <c r="M19" s="643">
        <f t="shared" si="3"/>
        <v>193.8</v>
      </c>
      <c r="N19" s="663">
        <f>M19+M20</f>
        <v>217.4</v>
      </c>
      <c r="O19" s="650">
        <v>60000</v>
      </c>
      <c r="P19" s="650">
        <f>M19*O19</f>
        <v>11628000</v>
      </c>
      <c r="Q19" s="649" t="s">
        <v>30</v>
      </c>
      <c r="R19" s="649">
        <f t="shared" si="9"/>
        <v>193.8</v>
      </c>
      <c r="S19" s="649" t="s">
        <v>379</v>
      </c>
      <c r="T19" s="650">
        <v>9500</v>
      </c>
      <c r="U19" s="650">
        <f>R19*T19*V19</f>
        <v>1841100</v>
      </c>
      <c r="V19" s="651">
        <v>1</v>
      </c>
      <c r="W19" s="650">
        <f t="shared" si="6"/>
        <v>1938000</v>
      </c>
      <c r="X19" s="650">
        <f t="shared" si="7"/>
        <v>34884000</v>
      </c>
      <c r="Y19" s="650">
        <f t="shared" si="10"/>
        <v>1</v>
      </c>
      <c r="Z19" s="652">
        <f t="shared" si="11"/>
        <v>3500000</v>
      </c>
      <c r="AA19" s="650">
        <f t="shared" si="8"/>
        <v>53791100</v>
      </c>
      <c r="AB19" s="650">
        <f>SUM(AA19:AA20)</f>
        <v>59915300</v>
      </c>
      <c r="AC19" s="643"/>
      <c r="AD19" s="654"/>
      <c r="AE19" s="654"/>
      <c r="AF19" s="654"/>
      <c r="AG19" s="654"/>
      <c r="AH19" s="654"/>
      <c r="AI19" s="654"/>
      <c r="AJ19" s="654"/>
      <c r="AK19" s="654"/>
      <c r="AL19" s="654"/>
      <c r="AM19" s="654"/>
      <c r="AN19" s="654"/>
    </row>
    <row r="20" spans="1:40" s="655" customFormat="1" ht="120" customHeight="1">
      <c r="A20" s="646">
        <v>7</v>
      </c>
      <c r="B20" s="659" t="s">
        <v>316</v>
      </c>
      <c r="C20" s="643">
        <v>214</v>
      </c>
      <c r="D20" s="643">
        <v>72</v>
      </c>
      <c r="E20" s="643" t="s">
        <v>368</v>
      </c>
      <c r="F20" s="643" t="s">
        <v>315</v>
      </c>
      <c r="G20" s="643" t="s">
        <v>44</v>
      </c>
      <c r="H20" s="643">
        <v>23.6</v>
      </c>
      <c r="I20" s="643"/>
      <c r="J20" s="643"/>
      <c r="K20" s="643"/>
      <c r="L20" s="643"/>
      <c r="M20" s="643">
        <f t="shared" si="3"/>
        <v>23.6</v>
      </c>
      <c r="N20" s="667"/>
      <c r="O20" s="650">
        <v>60000</v>
      </c>
      <c r="P20" s="650">
        <f>M20*O20</f>
        <v>1416000</v>
      </c>
      <c r="Q20" s="649" t="s">
        <v>30</v>
      </c>
      <c r="R20" s="649">
        <f t="shared" si="9"/>
        <v>23.6</v>
      </c>
      <c r="S20" s="649" t="s">
        <v>379</v>
      </c>
      <c r="T20" s="650">
        <v>9500</v>
      </c>
      <c r="U20" s="650">
        <f>R20*T20*V20</f>
        <v>224200</v>
      </c>
      <c r="V20" s="651">
        <v>1</v>
      </c>
      <c r="W20" s="650">
        <f t="shared" si="6"/>
        <v>236000</v>
      </c>
      <c r="X20" s="650">
        <f t="shared" si="7"/>
        <v>4248000</v>
      </c>
      <c r="Y20" s="650">
        <f t="shared" si="10"/>
        <v>0</v>
      </c>
      <c r="Z20" s="652">
        <f t="shared" si="11"/>
        <v>0</v>
      </c>
      <c r="AA20" s="650">
        <f t="shared" si="8"/>
        <v>6124200</v>
      </c>
      <c r="AB20" s="665"/>
      <c r="AC20" s="643"/>
      <c r="AD20" s="654"/>
      <c r="AE20" s="654"/>
      <c r="AF20" s="654"/>
      <c r="AG20" s="654"/>
      <c r="AH20" s="654"/>
      <c r="AI20" s="654"/>
      <c r="AJ20" s="654"/>
      <c r="AK20" s="654"/>
      <c r="AL20" s="654"/>
      <c r="AM20" s="654"/>
      <c r="AN20" s="654"/>
    </row>
    <row r="21" spans="1:40" s="655" customFormat="1" ht="126.75" customHeight="1">
      <c r="A21" s="646">
        <v>8</v>
      </c>
      <c r="B21" s="659" t="s">
        <v>317</v>
      </c>
      <c r="C21" s="643">
        <v>61</v>
      </c>
      <c r="D21" s="643">
        <v>72</v>
      </c>
      <c r="E21" s="643">
        <v>44.2</v>
      </c>
      <c r="F21" s="643" t="s">
        <v>45</v>
      </c>
      <c r="G21" s="643" t="s">
        <v>43</v>
      </c>
      <c r="H21" s="656"/>
      <c r="I21" s="643">
        <v>43.4</v>
      </c>
      <c r="J21" s="643"/>
      <c r="K21" s="643"/>
      <c r="L21" s="643">
        <v>0.8</v>
      </c>
      <c r="M21" s="643">
        <f t="shared" si="3"/>
        <v>44.199999999999996</v>
      </c>
      <c r="N21" s="643">
        <f>M21</f>
        <v>44.199999999999996</v>
      </c>
      <c r="O21" s="650">
        <v>60000</v>
      </c>
      <c r="P21" s="650">
        <f>M21*O21</f>
        <v>2651999.9999999995</v>
      </c>
      <c r="Q21" s="649" t="s">
        <v>348</v>
      </c>
      <c r="R21" s="649">
        <v>22</v>
      </c>
      <c r="S21" s="649" t="s">
        <v>379</v>
      </c>
      <c r="T21" s="650">
        <v>43000</v>
      </c>
      <c r="U21" s="650">
        <f>R21*T21*V21</f>
        <v>946000</v>
      </c>
      <c r="V21" s="651">
        <v>1</v>
      </c>
      <c r="W21" s="650">
        <f t="shared" si="6"/>
        <v>441999.99999999994</v>
      </c>
      <c r="X21" s="650">
        <f t="shared" si="7"/>
        <v>7955999.999999998</v>
      </c>
      <c r="Y21" s="650">
        <f t="shared" si="10"/>
        <v>0</v>
      </c>
      <c r="Z21" s="652">
        <f t="shared" si="11"/>
        <v>0</v>
      </c>
      <c r="AA21" s="650">
        <f t="shared" si="8"/>
        <v>11995999.999999998</v>
      </c>
      <c r="AB21" s="650">
        <f>AA21</f>
        <v>11995999.999999998</v>
      </c>
      <c r="AC21" s="643"/>
      <c r="AD21" s="654"/>
      <c r="AE21" s="654"/>
      <c r="AF21" s="654"/>
      <c r="AG21" s="654"/>
      <c r="AH21" s="654"/>
      <c r="AI21" s="654"/>
      <c r="AJ21" s="654"/>
      <c r="AK21" s="654"/>
      <c r="AL21" s="654"/>
      <c r="AM21" s="654"/>
      <c r="AN21" s="654"/>
    </row>
    <row r="22" spans="1:40" s="645" customFormat="1" ht="74.25" customHeight="1">
      <c r="A22" s="643">
        <v>6</v>
      </c>
      <c r="B22" s="660" t="s">
        <v>59</v>
      </c>
      <c r="C22" s="643"/>
      <c r="D22" s="643"/>
      <c r="E22" s="661"/>
      <c r="F22" s="643"/>
      <c r="G22" s="649"/>
      <c r="H22" s="635">
        <f aca="true" t="shared" si="12" ref="H22:N22">SUM(H23:H55)</f>
        <v>943.7</v>
      </c>
      <c r="I22" s="635">
        <f t="shared" si="12"/>
        <v>1057.9</v>
      </c>
      <c r="J22" s="635">
        <f t="shared" si="12"/>
        <v>0</v>
      </c>
      <c r="K22" s="635">
        <f t="shared" si="12"/>
        <v>919.1</v>
      </c>
      <c r="L22" s="635">
        <f t="shared" si="12"/>
        <v>0</v>
      </c>
      <c r="M22" s="635">
        <f t="shared" si="12"/>
        <v>2920.7000000000003</v>
      </c>
      <c r="N22" s="635">
        <f t="shared" si="12"/>
        <v>2920.7</v>
      </c>
      <c r="O22" s="636">
        <f>SUM(O23:O54)</f>
        <v>695000</v>
      </c>
      <c r="P22" s="636">
        <f>SUM(P23:P54)</f>
        <v>170646500</v>
      </c>
      <c r="Q22" s="635"/>
      <c r="R22" s="635">
        <f>SUM(R23:R54)</f>
        <v>2313.92</v>
      </c>
      <c r="S22" s="635"/>
      <c r="T22" s="636">
        <f>SUM(T23:T54)</f>
        <v>9940500</v>
      </c>
      <c r="U22" s="636">
        <f>SUM(U23:U55)</f>
        <v>194204680</v>
      </c>
      <c r="V22" s="636">
        <f>SUM(V23:V54)</f>
        <v>24.200000000000003</v>
      </c>
      <c r="W22" s="636">
        <f>SUM(W23:W55)</f>
        <v>26449700</v>
      </c>
      <c r="X22" s="636">
        <f>SUM(X23:X54)</f>
        <v>511939500</v>
      </c>
      <c r="Y22" s="636">
        <f>SUM(Y23:Y55)</f>
        <v>14</v>
      </c>
      <c r="Z22" s="636">
        <f>SUM(Z23:Z54)</f>
        <v>49000000</v>
      </c>
      <c r="AA22" s="636">
        <f>SUM(AA23:AA55)</f>
        <v>952240380</v>
      </c>
      <c r="AB22" s="636">
        <f>SUM(AB23:AB54)</f>
        <v>952240380</v>
      </c>
      <c r="AC22" s="643"/>
      <c r="AD22" s="644"/>
      <c r="AE22" s="644"/>
      <c r="AF22" s="644"/>
      <c r="AG22" s="644"/>
      <c r="AH22" s="644"/>
      <c r="AI22" s="644"/>
      <c r="AJ22" s="644"/>
      <c r="AK22" s="644"/>
      <c r="AL22" s="644"/>
      <c r="AM22" s="644"/>
      <c r="AN22" s="644"/>
    </row>
    <row r="23" spans="1:40" s="655" customFormat="1" ht="126.75" customHeight="1">
      <c r="A23" s="646">
        <v>1</v>
      </c>
      <c r="B23" s="659" t="s">
        <v>318</v>
      </c>
      <c r="C23" s="662">
        <v>59</v>
      </c>
      <c r="D23" s="662">
        <v>81</v>
      </c>
      <c r="E23" s="648">
        <v>200.8</v>
      </c>
      <c r="F23" s="662" t="s">
        <v>45</v>
      </c>
      <c r="G23" s="643" t="s">
        <v>37</v>
      </c>
      <c r="H23" s="646"/>
      <c r="I23" s="648">
        <v>200.8</v>
      </c>
      <c r="J23" s="648"/>
      <c r="K23" s="648"/>
      <c r="L23" s="648"/>
      <c r="M23" s="643">
        <f>SUM(H23:L23)</f>
        <v>200.8</v>
      </c>
      <c r="N23" s="643">
        <f>M23</f>
        <v>200.8</v>
      </c>
      <c r="O23" s="650">
        <v>60000</v>
      </c>
      <c r="P23" s="650">
        <f>M23*O23</f>
        <v>12048000</v>
      </c>
      <c r="Q23" s="649" t="s">
        <v>30</v>
      </c>
      <c r="R23" s="649">
        <f>M23</f>
        <v>200.8</v>
      </c>
      <c r="S23" s="649" t="s">
        <v>379</v>
      </c>
      <c r="T23" s="650">
        <v>9500</v>
      </c>
      <c r="U23" s="650">
        <f>R23*T23*V23</f>
        <v>1907600</v>
      </c>
      <c r="V23" s="651">
        <v>1</v>
      </c>
      <c r="W23" s="650">
        <f>M23*10000</f>
        <v>2008000</v>
      </c>
      <c r="X23" s="650">
        <f>M23*O23*3</f>
        <v>36144000</v>
      </c>
      <c r="Y23" s="650">
        <f>INT(N23/176.4)</f>
        <v>1</v>
      </c>
      <c r="Z23" s="652">
        <f>Y23*3500000</f>
        <v>3500000</v>
      </c>
      <c r="AA23" s="650">
        <f>P23+U23+W23+X23+Z23</f>
        <v>55607600</v>
      </c>
      <c r="AB23" s="650">
        <f>AA23</f>
        <v>55607600</v>
      </c>
      <c r="AC23" s="643"/>
      <c r="AD23" s="654"/>
      <c r="AE23" s="654"/>
      <c r="AF23" s="654"/>
      <c r="AG23" s="654"/>
      <c r="AH23" s="654"/>
      <c r="AI23" s="654"/>
      <c r="AJ23" s="654"/>
      <c r="AK23" s="654"/>
      <c r="AL23" s="654"/>
      <c r="AM23" s="654"/>
      <c r="AN23" s="654"/>
    </row>
    <row r="24" spans="1:40" s="655" customFormat="1" ht="126.75" customHeight="1">
      <c r="A24" s="646">
        <v>2</v>
      </c>
      <c r="B24" s="659" t="s">
        <v>322</v>
      </c>
      <c r="C24" s="1010">
        <v>29</v>
      </c>
      <c r="D24" s="1010">
        <v>81</v>
      </c>
      <c r="E24" s="1008">
        <v>333.7</v>
      </c>
      <c r="F24" s="1010" t="s">
        <v>0</v>
      </c>
      <c r="G24" s="1010" t="s">
        <v>296</v>
      </c>
      <c r="H24" s="663">
        <v>333.7</v>
      </c>
      <c r="I24" s="998"/>
      <c r="J24" s="998"/>
      <c r="K24" s="664"/>
      <c r="L24" s="664"/>
      <c r="M24" s="663">
        <f>SUM(H24:L25)</f>
        <v>333.7</v>
      </c>
      <c r="N24" s="1008">
        <f>M24</f>
        <v>333.7</v>
      </c>
      <c r="O24" s="1002">
        <v>60000</v>
      </c>
      <c r="P24" s="1002">
        <f>M24*O24</f>
        <v>20022000</v>
      </c>
      <c r="Q24" s="1006" t="s">
        <v>30</v>
      </c>
      <c r="R24" s="1006">
        <f>M24</f>
        <v>333.7</v>
      </c>
      <c r="S24" s="1006" t="s">
        <v>379</v>
      </c>
      <c r="T24" s="1002">
        <v>9500</v>
      </c>
      <c r="U24" s="1002">
        <f>R24*T24*V24</f>
        <v>3170150</v>
      </c>
      <c r="V24" s="1004">
        <v>1</v>
      </c>
      <c r="W24" s="1002">
        <f>M24*10000</f>
        <v>3337000</v>
      </c>
      <c r="X24" s="1002">
        <f>M24*O24*3</f>
        <v>60066000</v>
      </c>
      <c r="Y24" s="1002">
        <f>INT(N24/176.4)</f>
        <v>1</v>
      </c>
      <c r="Z24" s="1000">
        <f>Y24*3500000</f>
        <v>3500000</v>
      </c>
      <c r="AA24" s="665">
        <f>P24+U24+W24+X24+Z24</f>
        <v>90095150</v>
      </c>
      <c r="AB24" s="665">
        <f>AA24</f>
        <v>90095150</v>
      </c>
      <c r="AC24" s="643"/>
      <c r="AD24" s="654"/>
      <c r="AE24" s="654"/>
      <c r="AF24" s="654"/>
      <c r="AG24" s="654"/>
      <c r="AH24" s="654"/>
      <c r="AI24" s="654"/>
      <c r="AJ24" s="654"/>
      <c r="AK24" s="654"/>
      <c r="AL24" s="654"/>
      <c r="AM24" s="654"/>
      <c r="AN24" s="654"/>
    </row>
    <row r="25" spans="1:40" s="655" customFormat="1" ht="126.75" customHeight="1">
      <c r="A25" s="646">
        <v>3</v>
      </c>
      <c r="B25" s="659" t="s">
        <v>323</v>
      </c>
      <c r="C25" s="1011"/>
      <c r="D25" s="1011"/>
      <c r="E25" s="1009"/>
      <c r="F25" s="1011"/>
      <c r="G25" s="1011"/>
      <c r="H25" s="667"/>
      <c r="I25" s="999"/>
      <c r="J25" s="999"/>
      <c r="K25" s="668"/>
      <c r="L25" s="668"/>
      <c r="M25" s="667"/>
      <c r="N25" s="1009"/>
      <c r="O25" s="1003"/>
      <c r="P25" s="1003"/>
      <c r="Q25" s="1007"/>
      <c r="R25" s="1007"/>
      <c r="S25" s="1007"/>
      <c r="T25" s="1003"/>
      <c r="U25" s="1003"/>
      <c r="V25" s="1005"/>
      <c r="W25" s="1003"/>
      <c r="X25" s="1003"/>
      <c r="Y25" s="1003"/>
      <c r="Z25" s="1001"/>
      <c r="AA25" s="650"/>
      <c r="AB25" s="669"/>
      <c r="AC25" s="643"/>
      <c r="AD25" s="654"/>
      <c r="AE25" s="654"/>
      <c r="AF25" s="654"/>
      <c r="AG25" s="654"/>
      <c r="AH25" s="654"/>
      <c r="AI25" s="654"/>
      <c r="AJ25" s="654"/>
      <c r="AK25" s="654"/>
      <c r="AL25" s="654"/>
      <c r="AM25" s="654"/>
      <c r="AN25" s="654"/>
    </row>
    <row r="26" spans="1:40" s="714" customFormat="1" ht="126.75" customHeight="1">
      <c r="A26" s="703">
        <v>4</v>
      </c>
      <c r="B26" s="704" t="s">
        <v>319</v>
      </c>
      <c r="C26" s="705">
        <v>108</v>
      </c>
      <c r="D26" s="705">
        <v>81</v>
      </c>
      <c r="E26" s="705">
        <v>567.2</v>
      </c>
      <c r="F26" s="705" t="s">
        <v>0</v>
      </c>
      <c r="G26" s="705" t="s">
        <v>37</v>
      </c>
      <c r="H26" s="703">
        <v>485.3</v>
      </c>
      <c r="I26" s="706">
        <f>529.6-H26</f>
        <v>44.30000000000001</v>
      </c>
      <c r="J26" s="706"/>
      <c r="K26" s="706"/>
      <c r="L26" s="706"/>
      <c r="M26" s="705">
        <f>SUM(H26:L26)</f>
        <v>529.6</v>
      </c>
      <c r="N26" s="738">
        <f>M26+M27+M28</f>
        <v>755.5</v>
      </c>
      <c r="O26" s="708">
        <v>60000</v>
      </c>
      <c r="P26" s="708">
        <f>M26*O26</f>
        <v>31776000</v>
      </c>
      <c r="Q26" s="739" t="s">
        <v>30</v>
      </c>
      <c r="R26" s="709">
        <f>M26</f>
        <v>529.6</v>
      </c>
      <c r="S26" s="709" t="s">
        <v>379</v>
      </c>
      <c r="T26" s="708">
        <v>9500</v>
      </c>
      <c r="U26" s="708">
        <f aca="true" t="shared" si="13" ref="U26:U31">R26*T26*V26</f>
        <v>5031200</v>
      </c>
      <c r="V26" s="710">
        <v>1</v>
      </c>
      <c r="W26" s="708">
        <f>M26*10000</f>
        <v>5296000</v>
      </c>
      <c r="X26" s="708">
        <f>M26*O26*3</f>
        <v>95328000</v>
      </c>
      <c r="Y26" s="708">
        <f>INT(N26/176.4)</f>
        <v>4</v>
      </c>
      <c r="Z26" s="711">
        <f>Y26*3500000</f>
        <v>14000000</v>
      </c>
      <c r="AA26" s="708">
        <f>P26+U26+W26+X26+Z26</f>
        <v>151431200</v>
      </c>
      <c r="AB26" s="708">
        <f>SUM(AA26:AA31)</f>
        <v>246571890</v>
      </c>
      <c r="AC26" s="705"/>
      <c r="AD26" s="713"/>
      <c r="AE26" s="713"/>
      <c r="AF26" s="713"/>
      <c r="AG26" s="713"/>
      <c r="AH26" s="713"/>
      <c r="AI26" s="713"/>
      <c r="AJ26" s="713"/>
      <c r="AK26" s="713"/>
      <c r="AL26" s="713"/>
      <c r="AM26" s="713"/>
      <c r="AN26" s="713"/>
    </row>
    <row r="27" spans="1:40" s="714" customFormat="1" ht="126.75" customHeight="1">
      <c r="A27" s="703">
        <v>4</v>
      </c>
      <c r="B27" s="704" t="s">
        <v>319</v>
      </c>
      <c r="C27" s="705">
        <v>79</v>
      </c>
      <c r="D27" s="705">
        <v>81</v>
      </c>
      <c r="E27" s="705">
        <v>186.7</v>
      </c>
      <c r="F27" s="705" t="s">
        <v>45</v>
      </c>
      <c r="G27" s="705" t="s">
        <v>321</v>
      </c>
      <c r="H27" s="706">
        <f>163.3-38.6</f>
        <v>124.70000000000002</v>
      </c>
      <c r="I27" s="706">
        <f>145.9-H27</f>
        <v>21.19999999999999</v>
      </c>
      <c r="J27" s="706"/>
      <c r="K27" s="706"/>
      <c r="L27" s="706"/>
      <c r="M27" s="707">
        <f>SUM(H27:L27)</f>
        <v>145.9</v>
      </c>
      <c r="N27" s="715"/>
      <c r="O27" s="708">
        <v>60000</v>
      </c>
      <c r="P27" s="708">
        <f>M27*O27</f>
        <v>8754000</v>
      </c>
      <c r="Q27" s="739" t="s">
        <v>30</v>
      </c>
      <c r="R27" s="709">
        <f>M27</f>
        <v>145.9</v>
      </c>
      <c r="S27" s="709" t="s">
        <v>379</v>
      </c>
      <c r="T27" s="708">
        <v>9500</v>
      </c>
      <c r="U27" s="708">
        <f t="shared" si="13"/>
        <v>1386050</v>
      </c>
      <c r="V27" s="710">
        <v>1</v>
      </c>
      <c r="W27" s="708">
        <f>M27*10000</f>
        <v>1459000</v>
      </c>
      <c r="X27" s="708">
        <f>M27*O27*3</f>
        <v>26262000</v>
      </c>
      <c r="Y27" s="708">
        <f>INT(N27/176.4)</f>
        <v>0</v>
      </c>
      <c r="Z27" s="711">
        <f>Y27*3500000</f>
        <v>0</v>
      </c>
      <c r="AA27" s="708">
        <f>P27+U27+W27+X27+Z27</f>
        <v>37861050</v>
      </c>
      <c r="AB27" s="712"/>
      <c r="AC27" s="705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</row>
    <row r="28" spans="1:40" s="714" customFormat="1" ht="126.75" customHeight="1">
      <c r="A28" s="703">
        <v>4</v>
      </c>
      <c r="B28" s="704" t="s">
        <v>319</v>
      </c>
      <c r="C28" s="705">
        <v>73</v>
      </c>
      <c r="D28" s="705">
        <v>81</v>
      </c>
      <c r="E28" s="705">
        <v>439.8</v>
      </c>
      <c r="F28" s="705" t="s">
        <v>45</v>
      </c>
      <c r="G28" s="705" t="s">
        <v>37</v>
      </c>
      <c r="H28" s="706"/>
      <c r="I28" s="706"/>
      <c r="J28" s="706"/>
      <c r="K28" s="706">
        <v>80</v>
      </c>
      <c r="L28" s="706"/>
      <c r="M28" s="705">
        <f>SUM(H28:L28)</f>
        <v>80</v>
      </c>
      <c r="N28" s="715"/>
      <c r="O28" s="708">
        <v>55000</v>
      </c>
      <c r="P28" s="708">
        <f>M28*O28</f>
        <v>4400000</v>
      </c>
      <c r="Q28" s="739" t="s">
        <v>30</v>
      </c>
      <c r="R28" s="709">
        <v>30</v>
      </c>
      <c r="S28" s="709" t="s">
        <v>379</v>
      </c>
      <c r="T28" s="708">
        <v>9500</v>
      </c>
      <c r="U28" s="708">
        <f t="shared" si="13"/>
        <v>285000</v>
      </c>
      <c r="V28" s="710">
        <v>1</v>
      </c>
      <c r="W28" s="708">
        <f>M28*7000</f>
        <v>560000</v>
      </c>
      <c r="X28" s="708">
        <f>M28*O28*3</f>
        <v>13200000</v>
      </c>
      <c r="Y28" s="708">
        <f aca="true" t="shared" si="14" ref="Y28:Y53">INT(N28/176.4)</f>
        <v>0</v>
      </c>
      <c r="Z28" s="711">
        <f>Y28*3500000</f>
        <v>0</v>
      </c>
      <c r="AA28" s="708">
        <f>P28+U28+W28+X28+Z28</f>
        <v>18445000</v>
      </c>
      <c r="AB28" s="717"/>
      <c r="AC28" s="705"/>
      <c r="AD28" s="713"/>
      <c r="AE28" s="713"/>
      <c r="AF28" s="713"/>
      <c r="AG28" s="713"/>
      <c r="AH28" s="713"/>
      <c r="AI28" s="713"/>
      <c r="AJ28" s="713"/>
      <c r="AK28" s="713"/>
      <c r="AL28" s="713"/>
      <c r="AM28" s="713"/>
      <c r="AN28" s="713"/>
    </row>
    <row r="29" spans="1:40" s="714" customFormat="1" ht="126.75" customHeight="1">
      <c r="A29" s="703">
        <v>4</v>
      </c>
      <c r="B29" s="704" t="s">
        <v>319</v>
      </c>
      <c r="C29" s="705"/>
      <c r="D29" s="705"/>
      <c r="E29" s="705"/>
      <c r="F29" s="705"/>
      <c r="G29" s="705"/>
      <c r="H29" s="706"/>
      <c r="I29" s="706"/>
      <c r="J29" s="706"/>
      <c r="K29" s="706"/>
      <c r="L29" s="706"/>
      <c r="M29" s="707"/>
      <c r="N29" s="715"/>
      <c r="O29" s="708"/>
      <c r="P29" s="708"/>
      <c r="Q29" s="705" t="s">
        <v>325</v>
      </c>
      <c r="R29" s="716">
        <f>5.15*8.1</f>
        <v>41.715</v>
      </c>
      <c r="S29" s="709" t="s">
        <v>379</v>
      </c>
      <c r="T29" s="708">
        <v>1070000</v>
      </c>
      <c r="U29" s="708">
        <f t="shared" si="13"/>
        <v>35708040</v>
      </c>
      <c r="V29" s="710">
        <v>0.8</v>
      </c>
      <c r="W29" s="708"/>
      <c r="X29" s="708"/>
      <c r="Y29" s="708">
        <f t="shared" si="14"/>
        <v>0</v>
      </c>
      <c r="Z29" s="711"/>
      <c r="AA29" s="708">
        <f>U29</f>
        <v>35708040</v>
      </c>
      <c r="AB29" s="712"/>
      <c r="AC29" s="705"/>
      <c r="AD29" s="713"/>
      <c r="AE29" s="713"/>
      <c r="AF29" s="713"/>
      <c r="AG29" s="713"/>
      <c r="AH29" s="713"/>
      <c r="AI29" s="713"/>
      <c r="AJ29" s="713"/>
      <c r="AK29" s="713"/>
      <c r="AL29" s="713"/>
      <c r="AM29" s="713"/>
      <c r="AN29" s="713"/>
    </row>
    <row r="30" spans="1:40" s="714" customFormat="1" ht="126.75" customHeight="1">
      <c r="A30" s="703">
        <v>4</v>
      </c>
      <c r="B30" s="704" t="s">
        <v>319</v>
      </c>
      <c r="C30" s="705"/>
      <c r="D30" s="705"/>
      <c r="E30" s="705"/>
      <c r="F30" s="705"/>
      <c r="G30" s="705"/>
      <c r="H30" s="706"/>
      <c r="I30" s="706"/>
      <c r="J30" s="706"/>
      <c r="K30" s="706"/>
      <c r="L30" s="706"/>
      <c r="M30" s="705"/>
      <c r="N30" s="715"/>
      <c r="O30" s="708"/>
      <c r="P30" s="708"/>
      <c r="Q30" s="705" t="s">
        <v>324</v>
      </c>
      <c r="R30" s="716">
        <f>0.45*11.5</f>
        <v>5.175</v>
      </c>
      <c r="S30" s="709" t="s">
        <v>379</v>
      </c>
      <c r="T30" s="708">
        <v>430000</v>
      </c>
      <c r="U30" s="708">
        <f t="shared" si="13"/>
        <v>1780200</v>
      </c>
      <c r="V30" s="710">
        <v>0.8</v>
      </c>
      <c r="W30" s="708"/>
      <c r="X30" s="708"/>
      <c r="Y30" s="708">
        <f t="shared" si="14"/>
        <v>0</v>
      </c>
      <c r="Z30" s="711"/>
      <c r="AA30" s="708">
        <f>U30</f>
        <v>1780200</v>
      </c>
      <c r="AB30" s="717"/>
      <c r="AC30" s="705"/>
      <c r="AD30" s="713"/>
      <c r="AE30" s="713"/>
      <c r="AF30" s="713"/>
      <c r="AG30" s="713"/>
      <c r="AH30" s="713"/>
      <c r="AI30" s="713"/>
      <c r="AJ30" s="713"/>
      <c r="AK30" s="713"/>
      <c r="AL30" s="713"/>
      <c r="AM30" s="713"/>
      <c r="AN30" s="713"/>
    </row>
    <row r="31" spans="1:40" s="714" customFormat="1" ht="126.75" customHeight="1">
      <c r="A31" s="703">
        <v>4</v>
      </c>
      <c r="B31" s="704" t="s">
        <v>319</v>
      </c>
      <c r="C31" s="705"/>
      <c r="D31" s="705"/>
      <c r="E31" s="705"/>
      <c r="F31" s="705"/>
      <c r="G31" s="705"/>
      <c r="H31" s="706"/>
      <c r="I31" s="706"/>
      <c r="J31" s="706"/>
      <c r="K31" s="706"/>
      <c r="L31" s="706"/>
      <c r="M31" s="707"/>
      <c r="N31" s="718"/>
      <c r="O31" s="708"/>
      <c r="P31" s="708"/>
      <c r="Q31" s="705" t="s">
        <v>326</v>
      </c>
      <c r="R31" s="719">
        <f>11*1.7</f>
        <v>18.7</v>
      </c>
      <c r="S31" s="709" t="s">
        <v>379</v>
      </c>
      <c r="T31" s="708">
        <v>90000</v>
      </c>
      <c r="U31" s="708">
        <f t="shared" si="13"/>
        <v>1346400</v>
      </c>
      <c r="V31" s="710">
        <v>0.8</v>
      </c>
      <c r="W31" s="708"/>
      <c r="X31" s="708"/>
      <c r="Y31" s="708">
        <f t="shared" si="14"/>
        <v>0</v>
      </c>
      <c r="Z31" s="711"/>
      <c r="AA31" s="708">
        <f>U31</f>
        <v>1346400</v>
      </c>
      <c r="AB31" s="712"/>
      <c r="AC31" s="705" t="s">
        <v>327</v>
      </c>
      <c r="AD31" s="713"/>
      <c r="AE31" s="713"/>
      <c r="AF31" s="713"/>
      <c r="AG31" s="713"/>
      <c r="AH31" s="713"/>
      <c r="AI31" s="713"/>
      <c r="AJ31" s="713"/>
      <c r="AK31" s="713"/>
      <c r="AL31" s="713"/>
      <c r="AM31" s="713"/>
      <c r="AN31" s="713"/>
    </row>
    <row r="32" spans="1:40" s="730" customFormat="1" ht="126.75" customHeight="1">
      <c r="A32" s="720">
        <v>5</v>
      </c>
      <c r="B32" s="721" t="s">
        <v>320</v>
      </c>
      <c r="C32" s="722">
        <v>58</v>
      </c>
      <c r="D32" s="722">
        <v>81</v>
      </c>
      <c r="E32" s="722">
        <v>126.3</v>
      </c>
      <c r="F32" s="722" t="s">
        <v>45</v>
      </c>
      <c r="G32" s="722" t="s">
        <v>37</v>
      </c>
      <c r="H32" s="723"/>
      <c r="I32" s="723"/>
      <c r="J32" s="723"/>
      <c r="K32" s="723">
        <v>100</v>
      </c>
      <c r="L32" s="723"/>
      <c r="M32" s="722">
        <f>SUM(H32:L32)</f>
        <v>100</v>
      </c>
      <c r="N32" s="722">
        <f>M32+M34+M41</f>
        <v>404.5</v>
      </c>
      <c r="O32" s="724">
        <v>55000</v>
      </c>
      <c r="P32" s="724">
        <f>M32*O32</f>
        <v>5500000</v>
      </c>
      <c r="Q32" s="722"/>
      <c r="R32" s="725"/>
      <c r="S32" s="726"/>
      <c r="T32" s="724"/>
      <c r="U32" s="724"/>
      <c r="V32" s="727"/>
      <c r="W32" s="724">
        <f>M32*7000</f>
        <v>700000</v>
      </c>
      <c r="X32" s="724">
        <f>M32*O32*3</f>
        <v>16500000</v>
      </c>
      <c r="Y32" s="724">
        <f>INT(N32/176.4)</f>
        <v>2</v>
      </c>
      <c r="Z32" s="728">
        <f>Y32*3500000</f>
        <v>7000000</v>
      </c>
      <c r="AA32" s="724">
        <f>P32+U32+W32+X32+Z32</f>
        <v>29700000</v>
      </c>
      <c r="AB32" s="724">
        <f>SUM(AA32:AA41)</f>
        <v>190649490</v>
      </c>
      <c r="AC32" s="722"/>
      <c r="AD32" s="729"/>
      <c r="AE32" s="729"/>
      <c r="AF32" s="729"/>
      <c r="AG32" s="729"/>
      <c r="AH32" s="729"/>
      <c r="AI32" s="729"/>
      <c r="AJ32" s="729"/>
      <c r="AK32" s="729"/>
      <c r="AL32" s="729"/>
      <c r="AM32" s="729"/>
      <c r="AN32" s="729"/>
    </row>
    <row r="33" spans="1:40" s="730" customFormat="1" ht="126.75" customHeight="1">
      <c r="A33" s="720">
        <v>5</v>
      </c>
      <c r="B33" s="721" t="s">
        <v>320</v>
      </c>
      <c r="C33" s="722"/>
      <c r="D33" s="722"/>
      <c r="E33" s="722"/>
      <c r="F33" s="722"/>
      <c r="G33" s="722"/>
      <c r="H33" s="723"/>
      <c r="I33" s="723"/>
      <c r="J33" s="723"/>
      <c r="K33" s="723"/>
      <c r="L33" s="723"/>
      <c r="M33" s="731"/>
      <c r="N33" s="722"/>
      <c r="O33" s="724"/>
      <c r="P33" s="724"/>
      <c r="Q33" s="722" t="s">
        <v>333</v>
      </c>
      <c r="R33" s="726">
        <v>20</v>
      </c>
      <c r="S33" s="732" t="s">
        <v>268</v>
      </c>
      <c r="T33" s="724">
        <v>163000</v>
      </c>
      <c r="U33" s="724">
        <f>R33*T33*V33</f>
        <v>3260000</v>
      </c>
      <c r="V33" s="727">
        <v>1</v>
      </c>
      <c r="W33" s="724"/>
      <c r="X33" s="724"/>
      <c r="Y33" s="724"/>
      <c r="Z33" s="728"/>
      <c r="AA33" s="724">
        <f>U33</f>
        <v>3260000</v>
      </c>
      <c r="AB33" s="733"/>
      <c r="AC33" s="722"/>
      <c r="AD33" s="729"/>
      <c r="AE33" s="729"/>
      <c r="AF33" s="729"/>
      <c r="AG33" s="729"/>
      <c r="AH33" s="729"/>
      <c r="AI33" s="729"/>
      <c r="AJ33" s="729"/>
      <c r="AK33" s="729"/>
      <c r="AL33" s="729"/>
      <c r="AM33" s="729"/>
      <c r="AN33" s="729"/>
    </row>
    <row r="34" spans="1:40" s="730" customFormat="1" ht="126.75" customHeight="1">
      <c r="A34" s="720">
        <v>5</v>
      </c>
      <c r="B34" s="721" t="s">
        <v>320</v>
      </c>
      <c r="C34" s="722">
        <v>73</v>
      </c>
      <c r="D34" s="722">
        <v>81</v>
      </c>
      <c r="E34" s="722">
        <v>439.8</v>
      </c>
      <c r="F34" s="722" t="s">
        <v>45</v>
      </c>
      <c r="G34" s="722" t="s">
        <v>37</v>
      </c>
      <c r="H34" s="723"/>
      <c r="I34" s="723"/>
      <c r="J34" s="723"/>
      <c r="K34" s="723">
        <v>303.4</v>
      </c>
      <c r="L34" s="723"/>
      <c r="M34" s="722">
        <f>SUM(H34:L34)</f>
        <v>303.4</v>
      </c>
      <c r="N34" s="722"/>
      <c r="O34" s="724">
        <v>55000</v>
      </c>
      <c r="P34" s="724">
        <f>M34*O34</f>
        <v>16686999.999999998</v>
      </c>
      <c r="Q34" s="726"/>
      <c r="R34" s="726"/>
      <c r="S34" s="726"/>
      <c r="T34" s="724"/>
      <c r="U34" s="724"/>
      <c r="V34" s="727"/>
      <c r="W34" s="724">
        <f>M34*7000</f>
        <v>2123800</v>
      </c>
      <c r="X34" s="724">
        <f>M34*O34*3</f>
        <v>50060999.99999999</v>
      </c>
      <c r="Y34" s="724">
        <f t="shared" si="14"/>
        <v>0</v>
      </c>
      <c r="Z34" s="728">
        <f>Y34*3500000</f>
        <v>0</v>
      </c>
      <c r="AA34" s="724">
        <f>P34+U34+W34+X34+Z34</f>
        <v>68871800</v>
      </c>
      <c r="AB34" s="734"/>
      <c r="AC34" s="722"/>
      <c r="AD34" s="729"/>
      <c r="AE34" s="729"/>
      <c r="AF34" s="729"/>
      <c r="AG34" s="729"/>
      <c r="AH34" s="729"/>
      <c r="AI34" s="729"/>
      <c r="AJ34" s="729"/>
      <c r="AK34" s="729"/>
      <c r="AL34" s="729"/>
      <c r="AM34" s="729"/>
      <c r="AN34" s="729"/>
    </row>
    <row r="35" spans="1:40" s="730" customFormat="1" ht="126.75" customHeight="1">
      <c r="A35" s="720">
        <v>5</v>
      </c>
      <c r="B35" s="721" t="s">
        <v>320</v>
      </c>
      <c r="C35" s="722"/>
      <c r="D35" s="722"/>
      <c r="E35" s="722"/>
      <c r="F35" s="722"/>
      <c r="G35" s="722"/>
      <c r="H35" s="723"/>
      <c r="I35" s="723"/>
      <c r="J35" s="723"/>
      <c r="K35" s="723"/>
      <c r="L35" s="723"/>
      <c r="M35" s="731"/>
      <c r="N35" s="722"/>
      <c r="O35" s="724"/>
      <c r="P35" s="724"/>
      <c r="Q35" s="726" t="s">
        <v>328</v>
      </c>
      <c r="R35" s="726">
        <f>8*4</f>
        <v>32</v>
      </c>
      <c r="S35" s="724" t="s">
        <v>329</v>
      </c>
      <c r="T35" s="724">
        <v>890000</v>
      </c>
      <c r="U35" s="724">
        <f aca="true" t="shared" si="15" ref="U35:U42">R35*T35*V35</f>
        <v>22784000</v>
      </c>
      <c r="V35" s="727">
        <v>0.8</v>
      </c>
      <c r="W35" s="724"/>
      <c r="X35" s="724"/>
      <c r="Y35" s="724">
        <f t="shared" si="14"/>
        <v>0</v>
      </c>
      <c r="Z35" s="728"/>
      <c r="AA35" s="724">
        <f aca="true" t="shared" si="16" ref="AA35:AA40">U35</f>
        <v>22784000</v>
      </c>
      <c r="AB35" s="733"/>
      <c r="AC35" s="722"/>
      <c r="AD35" s="729"/>
      <c r="AE35" s="729"/>
      <c r="AF35" s="729"/>
      <c r="AG35" s="729"/>
      <c r="AH35" s="729"/>
      <c r="AI35" s="729"/>
      <c r="AJ35" s="729"/>
      <c r="AK35" s="729"/>
      <c r="AL35" s="729"/>
      <c r="AM35" s="729"/>
      <c r="AN35" s="729"/>
    </row>
    <row r="36" spans="1:40" s="730" customFormat="1" ht="126.75" customHeight="1">
      <c r="A36" s="720">
        <v>5</v>
      </c>
      <c r="B36" s="721" t="s">
        <v>320</v>
      </c>
      <c r="C36" s="722"/>
      <c r="D36" s="722"/>
      <c r="E36" s="722"/>
      <c r="F36" s="722"/>
      <c r="G36" s="722"/>
      <c r="H36" s="723"/>
      <c r="I36" s="723"/>
      <c r="J36" s="723"/>
      <c r="K36" s="723"/>
      <c r="L36" s="723"/>
      <c r="M36" s="722"/>
      <c r="N36" s="722"/>
      <c r="O36" s="724"/>
      <c r="P36" s="724"/>
      <c r="Q36" s="726" t="s">
        <v>330</v>
      </c>
      <c r="R36" s="726">
        <f>1.1*3.5*5.8</f>
        <v>22.330000000000002</v>
      </c>
      <c r="S36" s="724" t="s">
        <v>331</v>
      </c>
      <c r="T36" s="724">
        <v>1460000</v>
      </c>
      <c r="U36" s="724">
        <f t="shared" si="15"/>
        <v>26081440.000000004</v>
      </c>
      <c r="V36" s="727">
        <v>0.8</v>
      </c>
      <c r="W36" s="724"/>
      <c r="X36" s="724"/>
      <c r="Y36" s="724">
        <f t="shared" si="14"/>
        <v>0</v>
      </c>
      <c r="Z36" s="728"/>
      <c r="AA36" s="724">
        <f t="shared" si="16"/>
        <v>26081440.000000004</v>
      </c>
      <c r="AB36" s="734"/>
      <c r="AC36" s="722"/>
      <c r="AD36" s="729"/>
      <c r="AE36" s="729"/>
      <c r="AF36" s="729"/>
      <c r="AG36" s="729"/>
      <c r="AH36" s="729"/>
      <c r="AI36" s="729"/>
      <c r="AJ36" s="729"/>
      <c r="AK36" s="729"/>
      <c r="AL36" s="729"/>
      <c r="AM36" s="729"/>
      <c r="AN36" s="729"/>
    </row>
    <row r="37" spans="1:40" s="730" customFormat="1" ht="126.75" customHeight="1">
      <c r="A37" s="720">
        <v>5</v>
      </c>
      <c r="B37" s="721" t="s">
        <v>320</v>
      </c>
      <c r="C37" s="722"/>
      <c r="D37" s="722"/>
      <c r="E37" s="722"/>
      <c r="F37" s="722"/>
      <c r="G37" s="722"/>
      <c r="H37" s="723"/>
      <c r="I37" s="723"/>
      <c r="J37" s="723"/>
      <c r="K37" s="723"/>
      <c r="L37" s="723"/>
      <c r="M37" s="731"/>
      <c r="N37" s="722"/>
      <c r="O37" s="724"/>
      <c r="P37" s="724"/>
      <c r="Q37" s="722" t="s">
        <v>324</v>
      </c>
      <c r="R37" s="725">
        <v>12</v>
      </c>
      <c r="S37" s="726" t="s">
        <v>379</v>
      </c>
      <c r="T37" s="724">
        <v>430000</v>
      </c>
      <c r="U37" s="724">
        <f t="shared" si="15"/>
        <v>4128000</v>
      </c>
      <c r="V37" s="727">
        <v>0.8</v>
      </c>
      <c r="W37" s="724"/>
      <c r="X37" s="724"/>
      <c r="Y37" s="724">
        <f t="shared" si="14"/>
        <v>0</v>
      </c>
      <c r="Z37" s="728"/>
      <c r="AA37" s="724">
        <f t="shared" si="16"/>
        <v>4128000</v>
      </c>
      <c r="AB37" s="733"/>
      <c r="AC37" s="722"/>
      <c r="AD37" s="729"/>
      <c r="AE37" s="729"/>
      <c r="AF37" s="729"/>
      <c r="AG37" s="729"/>
      <c r="AH37" s="729"/>
      <c r="AI37" s="729"/>
      <c r="AJ37" s="729"/>
      <c r="AK37" s="729"/>
      <c r="AL37" s="729"/>
      <c r="AM37" s="729"/>
      <c r="AN37" s="729"/>
    </row>
    <row r="38" spans="1:40" s="730" customFormat="1" ht="126.75" customHeight="1">
      <c r="A38" s="720">
        <v>5</v>
      </c>
      <c r="B38" s="721" t="s">
        <v>320</v>
      </c>
      <c r="C38" s="722"/>
      <c r="D38" s="722"/>
      <c r="E38" s="722"/>
      <c r="F38" s="722"/>
      <c r="G38" s="722"/>
      <c r="H38" s="723"/>
      <c r="I38" s="723"/>
      <c r="J38" s="723"/>
      <c r="K38" s="723"/>
      <c r="L38" s="723"/>
      <c r="M38" s="722"/>
      <c r="N38" s="722"/>
      <c r="O38" s="724"/>
      <c r="P38" s="724"/>
      <c r="Q38" s="722" t="s">
        <v>332</v>
      </c>
      <c r="R38" s="726">
        <v>36</v>
      </c>
      <c r="S38" s="726" t="s">
        <v>379</v>
      </c>
      <c r="T38" s="724">
        <v>580000</v>
      </c>
      <c r="U38" s="724">
        <f t="shared" si="15"/>
        <v>16704000</v>
      </c>
      <c r="V38" s="727">
        <v>0.8</v>
      </c>
      <c r="W38" s="724"/>
      <c r="X38" s="724"/>
      <c r="Y38" s="724">
        <f t="shared" si="14"/>
        <v>0</v>
      </c>
      <c r="Z38" s="728"/>
      <c r="AA38" s="724">
        <f t="shared" si="16"/>
        <v>16704000</v>
      </c>
      <c r="AB38" s="734"/>
      <c r="AC38" s="722"/>
      <c r="AD38" s="729"/>
      <c r="AE38" s="729"/>
      <c r="AF38" s="729"/>
      <c r="AG38" s="729"/>
      <c r="AH38" s="729"/>
      <c r="AI38" s="729"/>
      <c r="AJ38" s="729"/>
      <c r="AK38" s="729"/>
      <c r="AL38" s="729"/>
      <c r="AM38" s="729"/>
      <c r="AN38" s="729"/>
    </row>
    <row r="39" spans="1:40" s="730" customFormat="1" ht="126.75" customHeight="1">
      <c r="A39" s="720">
        <v>5</v>
      </c>
      <c r="B39" s="721" t="s">
        <v>320</v>
      </c>
      <c r="C39" s="722"/>
      <c r="D39" s="722"/>
      <c r="E39" s="722"/>
      <c r="F39" s="722"/>
      <c r="G39" s="722"/>
      <c r="H39" s="723"/>
      <c r="I39" s="723"/>
      <c r="J39" s="723"/>
      <c r="K39" s="723"/>
      <c r="L39" s="723"/>
      <c r="M39" s="731"/>
      <c r="N39" s="722"/>
      <c r="O39" s="724"/>
      <c r="P39" s="724"/>
      <c r="Q39" s="722" t="s">
        <v>333</v>
      </c>
      <c r="R39" s="726">
        <v>50</v>
      </c>
      <c r="S39" s="732" t="s">
        <v>268</v>
      </c>
      <c r="T39" s="724">
        <v>163000</v>
      </c>
      <c r="U39" s="724">
        <f t="shared" si="15"/>
        <v>8150000</v>
      </c>
      <c r="V39" s="727">
        <v>1</v>
      </c>
      <c r="W39" s="724"/>
      <c r="X39" s="724"/>
      <c r="Y39" s="724">
        <f t="shared" si="14"/>
        <v>0</v>
      </c>
      <c r="Z39" s="728"/>
      <c r="AA39" s="724">
        <f t="shared" si="16"/>
        <v>8150000</v>
      </c>
      <c r="AB39" s="733"/>
      <c r="AC39" s="722"/>
      <c r="AD39" s="729"/>
      <c r="AE39" s="729"/>
      <c r="AF39" s="729"/>
      <c r="AG39" s="729"/>
      <c r="AH39" s="729"/>
      <c r="AI39" s="729"/>
      <c r="AJ39" s="729"/>
      <c r="AK39" s="729"/>
      <c r="AL39" s="729"/>
      <c r="AM39" s="729"/>
      <c r="AN39" s="729"/>
    </row>
    <row r="40" spans="1:40" s="730" customFormat="1" ht="126.75" customHeight="1">
      <c r="A40" s="720">
        <v>5</v>
      </c>
      <c r="B40" s="721" t="s">
        <v>320</v>
      </c>
      <c r="C40" s="722"/>
      <c r="D40" s="722"/>
      <c r="E40" s="722"/>
      <c r="F40" s="722"/>
      <c r="G40" s="722"/>
      <c r="H40" s="723"/>
      <c r="I40" s="723"/>
      <c r="J40" s="723"/>
      <c r="K40" s="723"/>
      <c r="L40" s="723"/>
      <c r="M40" s="722"/>
      <c r="N40" s="722"/>
      <c r="O40" s="724"/>
      <c r="P40" s="724"/>
      <c r="Q40" s="722" t="s">
        <v>334</v>
      </c>
      <c r="R40" s="726">
        <f>3*4.2</f>
        <v>12.600000000000001</v>
      </c>
      <c r="S40" s="726" t="s">
        <v>379</v>
      </c>
      <c r="T40" s="724">
        <v>1060000</v>
      </c>
      <c r="U40" s="724">
        <f t="shared" si="15"/>
        <v>10684800.000000002</v>
      </c>
      <c r="V40" s="727">
        <v>0.8</v>
      </c>
      <c r="W40" s="724"/>
      <c r="X40" s="724"/>
      <c r="Y40" s="724">
        <f t="shared" si="14"/>
        <v>0</v>
      </c>
      <c r="Z40" s="728"/>
      <c r="AA40" s="724">
        <f t="shared" si="16"/>
        <v>10684800.000000002</v>
      </c>
      <c r="AB40" s="734"/>
      <c r="AC40" s="722"/>
      <c r="AD40" s="729"/>
      <c r="AE40" s="729"/>
      <c r="AF40" s="729"/>
      <c r="AG40" s="729"/>
      <c r="AH40" s="729"/>
      <c r="AI40" s="729"/>
      <c r="AJ40" s="729"/>
      <c r="AK40" s="729"/>
      <c r="AL40" s="729"/>
      <c r="AM40" s="729"/>
      <c r="AN40" s="729"/>
    </row>
    <row r="41" spans="1:40" s="730" customFormat="1" ht="126.75" customHeight="1">
      <c r="A41" s="720">
        <v>5</v>
      </c>
      <c r="B41" s="721" t="s">
        <v>320</v>
      </c>
      <c r="C41" s="722">
        <v>87</v>
      </c>
      <c r="D41" s="722">
        <v>81</v>
      </c>
      <c r="E41" s="722">
        <v>114.2</v>
      </c>
      <c r="F41" s="722" t="s">
        <v>45</v>
      </c>
      <c r="G41" s="722" t="s">
        <v>37</v>
      </c>
      <c r="H41" s="735"/>
      <c r="I41" s="723">
        <v>1.1</v>
      </c>
      <c r="J41" s="723"/>
      <c r="K41" s="723"/>
      <c r="L41" s="723"/>
      <c r="M41" s="731">
        <f>SUM(H41:L41)</f>
        <v>1.1</v>
      </c>
      <c r="N41" s="722"/>
      <c r="O41" s="724">
        <v>60000</v>
      </c>
      <c r="P41" s="724">
        <f>M41*O41</f>
        <v>66000</v>
      </c>
      <c r="Q41" s="736" t="s">
        <v>30</v>
      </c>
      <c r="R41" s="726">
        <f>M41</f>
        <v>1.1</v>
      </c>
      <c r="S41" s="726" t="s">
        <v>379</v>
      </c>
      <c r="T41" s="724">
        <v>9500</v>
      </c>
      <c r="U41" s="724">
        <f t="shared" si="15"/>
        <v>10450</v>
      </c>
      <c r="V41" s="727">
        <v>1</v>
      </c>
      <c r="W41" s="724">
        <f>M41*10000</f>
        <v>11000</v>
      </c>
      <c r="X41" s="724">
        <f>M41*O41*3</f>
        <v>198000</v>
      </c>
      <c r="Y41" s="724">
        <f t="shared" si="14"/>
        <v>0</v>
      </c>
      <c r="Z41" s="728">
        <f>Y41*3500000</f>
        <v>0</v>
      </c>
      <c r="AA41" s="724">
        <f aca="true" t="shared" si="17" ref="AA41:AA54">P41+U41+W41+X41+Z41</f>
        <v>285450</v>
      </c>
      <c r="AB41" s="733"/>
      <c r="AC41" s="722"/>
      <c r="AD41" s="729"/>
      <c r="AE41" s="729"/>
      <c r="AF41" s="729"/>
      <c r="AG41" s="729"/>
      <c r="AH41" s="729"/>
      <c r="AI41" s="729"/>
      <c r="AJ41" s="729"/>
      <c r="AK41" s="729"/>
      <c r="AL41" s="729"/>
      <c r="AM41" s="729"/>
      <c r="AN41" s="729"/>
    </row>
    <row r="42" spans="1:40" s="714" customFormat="1" ht="126.75" customHeight="1">
      <c r="A42" s="703">
        <v>6</v>
      </c>
      <c r="B42" s="704" t="s">
        <v>230</v>
      </c>
      <c r="C42" s="705">
        <v>91</v>
      </c>
      <c r="D42" s="705">
        <v>81</v>
      </c>
      <c r="E42" s="705">
        <v>752.6</v>
      </c>
      <c r="F42" s="705" t="s">
        <v>0</v>
      </c>
      <c r="G42" s="705" t="s">
        <v>37</v>
      </c>
      <c r="H42" s="737"/>
      <c r="I42" s="705">
        <v>699.5</v>
      </c>
      <c r="J42" s="705"/>
      <c r="K42" s="705"/>
      <c r="L42" s="705"/>
      <c r="M42" s="705">
        <f>SUM(H42:L42)</f>
        <v>699.5</v>
      </c>
      <c r="N42" s="738">
        <f>M42+M43+M47+M53</f>
        <v>1226.2</v>
      </c>
      <c r="O42" s="708">
        <v>60000</v>
      </c>
      <c r="P42" s="708">
        <f>M42*O42</f>
        <v>41970000</v>
      </c>
      <c r="Q42" s="739" t="s">
        <v>30</v>
      </c>
      <c r="R42" s="709">
        <f>M42</f>
        <v>699.5</v>
      </c>
      <c r="S42" s="709" t="s">
        <v>379</v>
      </c>
      <c r="T42" s="708">
        <v>9500</v>
      </c>
      <c r="U42" s="708">
        <f t="shared" si="15"/>
        <v>6645250</v>
      </c>
      <c r="V42" s="710">
        <v>1</v>
      </c>
      <c r="W42" s="708">
        <f>M42*10000</f>
        <v>6995000</v>
      </c>
      <c r="X42" s="708">
        <f>M42*O42*3</f>
        <v>125910000</v>
      </c>
      <c r="Y42" s="708">
        <f t="shared" si="14"/>
        <v>6</v>
      </c>
      <c r="Z42" s="711">
        <f>Y42*3500000</f>
        <v>21000000</v>
      </c>
      <c r="AA42" s="708">
        <f t="shared" si="17"/>
        <v>202520250</v>
      </c>
      <c r="AB42" s="712">
        <f>SUM(AA42:AA55)</f>
        <v>369316250</v>
      </c>
      <c r="AC42" s="705"/>
      <c r="AD42" s="713"/>
      <c r="AE42" s="713"/>
      <c r="AF42" s="713"/>
      <c r="AG42" s="713"/>
      <c r="AH42" s="713"/>
      <c r="AI42" s="713"/>
      <c r="AJ42" s="713"/>
      <c r="AK42" s="713"/>
      <c r="AL42" s="713"/>
      <c r="AM42" s="713"/>
      <c r="AN42" s="713"/>
    </row>
    <row r="43" spans="1:40" s="714" customFormat="1" ht="126.75" customHeight="1">
      <c r="A43" s="703">
        <v>6</v>
      </c>
      <c r="B43" s="704" t="s">
        <v>230</v>
      </c>
      <c r="C43" s="705">
        <v>55</v>
      </c>
      <c r="D43" s="705">
        <v>81</v>
      </c>
      <c r="E43" s="705">
        <v>252.3</v>
      </c>
      <c r="F43" s="705" t="s">
        <v>45</v>
      </c>
      <c r="G43" s="705" t="s">
        <v>37</v>
      </c>
      <c r="H43" s="737"/>
      <c r="I43" s="737"/>
      <c r="J43" s="705"/>
      <c r="K43" s="705">
        <v>252.3</v>
      </c>
      <c r="L43" s="705"/>
      <c r="M43" s="707">
        <f>SUM(H43:L43)</f>
        <v>252.3</v>
      </c>
      <c r="N43" s="740"/>
      <c r="O43" s="708">
        <v>55000</v>
      </c>
      <c r="P43" s="708">
        <f>M43*O43</f>
        <v>13876500</v>
      </c>
      <c r="Q43" s="709"/>
      <c r="R43" s="709"/>
      <c r="S43" s="709"/>
      <c r="T43" s="709"/>
      <c r="U43" s="709"/>
      <c r="V43" s="709"/>
      <c r="W43" s="708">
        <f>M43*7000</f>
        <v>1766100</v>
      </c>
      <c r="X43" s="708">
        <f>M43*O43*3</f>
        <v>41629500</v>
      </c>
      <c r="Y43" s="708">
        <f t="shared" si="14"/>
        <v>0</v>
      </c>
      <c r="Z43" s="711">
        <f>Y43*3500000</f>
        <v>0</v>
      </c>
      <c r="AA43" s="708">
        <f t="shared" si="17"/>
        <v>57272100</v>
      </c>
      <c r="AB43" s="717"/>
      <c r="AC43" s="705"/>
      <c r="AD43" s="705"/>
      <c r="AE43" s="705"/>
      <c r="AF43" s="705"/>
      <c r="AG43" s="705"/>
      <c r="AH43" s="705"/>
      <c r="AI43" s="713"/>
      <c r="AJ43" s="713"/>
      <c r="AK43" s="713"/>
      <c r="AL43" s="713"/>
      <c r="AM43" s="713"/>
      <c r="AN43" s="713"/>
    </row>
    <row r="44" spans="1:40" s="714" customFormat="1" ht="126.75" customHeight="1">
      <c r="A44" s="703">
        <v>6</v>
      </c>
      <c r="B44" s="704" t="s">
        <v>230</v>
      </c>
      <c r="C44" s="705">
        <v>55</v>
      </c>
      <c r="D44" s="705">
        <v>81</v>
      </c>
      <c r="E44" s="705">
        <v>252.3</v>
      </c>
      <c r="F44" s="705" t="s">
        <v>45</v>
      </c>
      <c r="G44" s="705" t="s">
        <v>37</v>
      </c>
      <c r="H44" s="737"/>
      <c r="I44" s="705"/>
      <c r="J44" s="705"/>
      <c r="K44" s="705"/>
      <c r="L44" s="705"/>
      <c r="M44" s="705"/>
      <c r="N44" s="740"/>
      <c r="O44" s="708"/>
      <c r="P44" s="708"/>
      <c r="Q44" s="709" t="s">
        <v>335</v>
      </c>
      <c r="R44" s="709">
        <v>14</v>
      </c>
      <c r="S44" s="741" t="s">
        <v>268</v>
      </c>
      <c r="T44" s="708">
        <v>1091000</v>
      </c>
      <c r="U44" s="708">
        <f>R44*T44*V44</f>
        <v>15274000</v>
      </c>
      <c r="V44" s="710">
        <v>1</v>
      </c>
      <c r="W44" s="708"/>
      <c r="X44" s="708"/>
      <c r="Y44" s="708">
        <f t="shared" si="14"/>
        <v>0</v>
      </c>
      <c r="Z44" s="711"/>
      <c r="AA44" s="708">
        <f t="shared" si="17"/>
        <v>15274000</v>
      </c>
      <c r="AB44" s="717"/>
      <c r="AC44" s="705"/>
      <c r="AD44" s="713"/>
      <c r="AE44" s="713"/>
      <c r="AF44" s="713"/>
      <c r="AG44" s="713"/>
      <c r="AH44" s="713"/>
      <c r="AI44" s="713"/>
      <c r="AJ44" s="713"/>
      <c r="AK44" s="713"/>
      <c r="AL44" s="713"/>
      <c r="AM44" s="713"/>
      <c r="AN44" s="713"/>
    </row>
    <row r="45" spans="1:40" s="714" customFormat="1" ht="126.75" customHeight="1">
      <c r="A45" s="703">
        <v>6</v>
      </c>
      <c r="B45" s="704" t="s">
        <v>230</v>
      </c>
      <c r="C45" s="705">
        <v>55</v>
      </c>
      <c r="D45" s="705">
        <v>81</v>
      </c>
      <c r="E45" s="705">
        <v>252.3</v>
      </c>
      <c r="F45" s="705" t="s">
        <v>45</v>
      </c>
      <c r="G45" s="705" t="s">
        <v>37</v>
      </c>
      <c r="H45" s="737"/>
      <c r="I45" s="705"/>
      <c r="J45" s="705"/>
      <c r="K45" s="705"/>
      <c r="L45" s="705"/>
      <c r="M45" s="707"/>
      <c r="N45" s="740"/>
      <c r="O45" s="708"/>
      <c r="P45" s="708"/>
      <c r="Q45" s="709" t="s">
        <v>336</v>
      </c>
      <c r="R45" s="709">
        <v>8</v>
      </c>
      <c r="S45" s="709" t="s">
        <v>379</v>
      </c>
      <c r="T45" s="708">
        <v>43000</v>
      </c>
      <c r="U45" s="708">
        <f>R45*T45*V45</f>
        <v>344000</v>
      </c>
      <c r="V45" s="710">
        <v>1</v>
      </c>
      <c r="W45" s="708"/>
      <c r="X45" s="708"/>
      <c r="Y45" s="708">
        <f t="shared" si="14"/>
        <v>0</v>
      </c>
      <c r="Z45" s="711"/>
      <c r="AA45" s="708">
        <f t="shared" si="17"/>
        <v>344000</v>
      </c>
      <c r="AB45" s="717"/>
      <c r="AC45" s="705"/>
      <c r="AD45" s="713"/>
      <c r="AE45" s="713"/>
      <c r="AF45" s="713"/>
      <c r="AG45" s="713"/>
      <c r="AH45" s="713"/>
      <c r="AI45" s="713"/>
      <c r="AJ45" s="713"/>
      <c r="AK45" s="713"/>
      <c r="AL45" s="713"/>
      <c r="AM45" s="713"/>
      <c r="AN45" s="713"/>
    </row>
    <row r="46" spans="1:40" s="714" customFormat="1" ht="126.75" customHeight="1">
      <c r="A46" s="703">
        <v>6</v>
      </c>
      <c r="B46" s="704" t="s">
        <v>230</v>
      </c>
      <c r="C46" s="705">
        <v>55</v>
      </c>
      <c r="D46" s="705">
        <v>81</v>
      </c>
      <c r="E46" s="705">
        <v>252.3</v>
      </c>
      <c r="F46" s="705" t="s">
        <v>45</v>
      </c>
      <c r="G46" s="705" t="s">
        <v>37</v>
      </c>
      <c r="H46" s="737"/>
      <c r="I46" s="705"/>
      <c r="J46" s="705"/>
      <c r="K46" s="705"/>
      <c r="L46" s="705"/>
      <c r="M46" s="705"/>
      <c r="N46" s="740"/>
      <c r="O46" s="708"/>
      <c r="P46" s="708"/>
      <c r="Q46" s="741" t="s">
        <v>306</v>
      </c>
      <c r="R46" s="709">
        <v>12</v>
      </c>
      <c r="S46" s="741" t="s">
        <v>307</v>
      </c>
      <c r="T46" s="742">
        <v>87000</v>
      </c>
      <c r="U46" s="708">
        <f>R46*T46*V46</f>
        <v>1044000</v>
      </c>
      <c r="V46" s="710">
        <v>1</v>
      </c>
      <c r="W46" s="708"/>
      <c r="X46" s="708"/>
      <c r="Y46" s="708">
        <f t="shared" si="14"/>
        <v>0</v>
      </c>
      <c r="Z46" s="711"/>
      <c r="AA46" s="708">
        <f t="shared" si="17"/>
        <v>1044000</v>
      </c>
      <c r="AB46" s="717"/>
      <c r="AC46" s="705"/>
      <c r="AD46" s="713"/>
      <c r="AE46" s="713"/>
      <c r="AF46" s="713"/>
      <c r="AG46" s="713"/>
      <c r="AH46" s="713"/>
      <c r="AI46" s="713"/>
      <c r="AJ46" s="713"/>
      <c r="AK46" s="713"/>
      <c r="AL46" s="713"/>
      <c r="AM46" s="713"/>
      <c r="AN46" s="713"/>
    </row>
    <row r="47" spans="1:40" s="714" customFormat="1" ht="126.75" customHeight="1">
      <c r="A47" s="703">
        <v>6</v>
      </c>
      <c r="B47" s="704" t="s">
        <v>230</v>
      </c>
      <c r="C47" s="705">
        <v>75</v>
      </c>
      <c r="D47" s="705">
        <v>81</v>
      </c>
      <c r="E47" s="705">
        <v>183.4</v>
      </c>
      <c r="F47" s="705" t="s">
        <v>45</v>
      </c>
      <c r="G47" s="705" t="s">
        <v>37</v>
      </c>
      <c r="H47" s="737"/>
      <c r="I47" s="705"/>
      <c r="J47" s="705"/>
      <c r="K47" s="705">
        <v>183.4</v>
      </c>
      <c r="L47" s="705"/>
      <c r="M47" s="707">
        <f>SUM(H47:L47)</f>
        <v>183.4</v>
      </c>
      <c r="N47" s="740"/>
      <c r="O47" s="708">
        <v>55000</v>
      </c>
      <c r="P47" s="708">
        <f>M47*O47</f>
        <v>10087000</v>
      </c>
      <c r="Q47" s="709"/>
      <c r="R47" s="709"/>
      <c r="S47" s="709"/>
      <c r="T47" s="708"/>
      <c r="U47" s="708"/>
      <c r="V47" s="710"/>
      <c r="W47" s="708">
        <f>M47*7000</f>
        <v>1283800</v>
      </c>
      <c r="X47" s="708">
        <f>M47*O47*3</f>
        <v>30261000</v>
      </c>
      <c r="Y47" s="708">
        <f t="shared" si="14"/>
        <v>0</v>
      </c>
      <c r="Z47" s="711">
        <f>Y47*3500000</f>
        <v>0</v>
      </c>
      <c r="AA47" s="708">
        <f t="shared" si="17"/>
        <v>41631800</v>
      </c>
      <c r="AB47" s="717"/>
      <c r="AC47" s="705"/>
      <c r="AD47" s="713"/>
      <c r="AE47" s="713"/>
      <c r="AF47" s="713"/>
      <c r="AG47" s="713"/>
      <c r="AH47" s="713"/>
      <c r="AI47" s="713"/>
      <c r="AJ47" s="713"/>
      <c r="AK47" s="713"/>
      <c r="AL47" s="713"/>
      <c r="AM47" s="713"/>
      <c r="AN47" s="713"/>
    </row>
    <row r="48" spans="1:40" s="714" customFormat="1" ht="126.75" customHeight="1">
      <c r="A48" s="703"/>
      <c r="B48" s="704"/>
      <c r="C48" s="705"/>
      <c r="D48" s="705"/>
      <c r="E48" s="705"/>
      <c r="F48" s="705"/>
      <c r="G48" s="705"/>
      <c r="H48" s="737"/>
      <c r="I48" s="705"/>
      <c r="J48" s="705"/>
      <c r="K48" s="705"/>
      <c r="L48" s="705"/>
      <c r="M48" s="705"/>
      <c r="N48" s="740"/>
      <c r="O48" s="708"/>
      <c r="P48" s="708"/>
      <c r="Q48" s="709" t="s">
        <v>328</v>
      </c>
      <c r="R48" s="709">
        <f>3.2*9</f>
        <v>28.8</v>
      </c>
      <c r="S48" s="708" t="s">
        <v>329</v>
      </c>
      <c r="T48" s="708">
        <v>890000</v>
      </c>
      <c r="U48" s="708">
        <f>R48*T48*V48</f>
        <v>20505600</v>
      </c>
      <c r="V48" s="710">
        <v>0.8</v>
      </c>
      <c r="W48" s="708"/>
      <c r="X48" s="708"/>
      <c r="Y48" s="708">
        <f t="shared" si="14"/>
        <v>0</v>
      </c>
      <c r="Z48" s="711"/>
      <c r="AA48" s="708">
        <f t="shared" si="17"/>
        <v>20505600</v>
      </c>
      <c r="AB48" s="717"/>
      <c r="AC48" s="705"/>
      <c r="AD48" s="713"/>
      <c r="AE48" s="713"/>
      <c r="AF48" s="713"/>
      <c r="AG48" s="713"/>
      <c r="AH48" s="713"/>
      <c r="AI48" s="713"/>
      <c r="AJ48" s="713"/>
      <c r="AK48" s="713"/>
      <c r="AL48" s="713"/>
      <c r="AM48" s="713"/>
      <c r="AN48" s="713"/>
    </row>
    <row r="49" spans="1:40" s="714" customFormat="1" ht="126.75" customHeight="1">
      <c r="A49" s="703"/>
      <c r="B49" s="704"/>
      <c r="C49" s="705"/>
      <c r="D49" s="705"/>
      <c r="E49" s="705"/>
      <c r="F49" s="705"/>
      <c r="G49" s="705"/>
      <c r="H49" s="737"/>
      <c r="I49" s="705"/>
      <c r="J49" s="705"/>
      <c r="K49" s="705"/>
      <c r="L49" s="705"/>
      <c r="M49" s="707"/>
      <c r="N49" s="740"/>
      <c r="O49" s="708"/>
      <c r="P49" s="708"/>
      <c r="Q49" s="741" t="s">
        <v>306</v>
      </c>
      <c r="R49" s="709">
        <v>15</v>
      </c>
      <c r="S49" s="741" t="s">
        <v>307</v>
      </c>
      <c r="T49" s="742">
        <v>87000</v>
      </c>
      <c r="U49" s="708">
        <f>R49*T49*V49</f>
        <v>1305000</v>
      </c>
      <c r="V49" s="710">
        <v>1</v>
      </c>
      <c r="W49" s="708"/>
      <c r="X49" s="708"/>
      <c r="Y49" s="708">
        <f t="shared" si="14"/>
        <v>0</v>
      </c>
      <c r="Z49" s="711"/>
      <c r="AA49" s="708">
        <f t="shared" si="17"/>
        <v>1305000</v>
      </c>
      <c r="AB49" s="717"/>
      <c r="AC49" s="705"/>
      <c r="AD49" s="713"/>
      <c r="AE49" s="713"/>
      <c r="AF49" s="713"/>
      <c r="AG49" s="713"/>
      <c r="AH49" s="713"/>
      <c r="AI49" s="713"/>
      <c r="AJ49" s="713"/>
      <c r="AK49" s="713"/>
      <c r="AL49" s="713"/>
      <c r="AM49" s="713"/>
      <c r="AN49" s="713"/>
    </row>
    <row r="50" spans="1:40" s="714" customFormat="1" ht="126.75" customHeight="1">
      <c r="A50" s="703"/>
      <c r="B50" s="704"/>
      <c r="C50" s="705"/>
      <c r="D50" s="705"/>
      <c r="E50" s="705"/>
      <c r="F50" s="705"/>
      <c r="G50" s="705"/>
      <c r="H50" s="737"/>
      <c r="I50" s="705"/>
      <c r="J50" s="705"/>
      <c r="K50" s="705"/>
      <c r="L50" s="705"/>
      <c r="M50" s="705"/>
      <c r="N50" s="740"/>
      <c r="O50" s="708"/>
      <c r="P50" s="708"/>
      <c r="Q50" s="709" t="s">
        <v>335</v>
      </c>
      <c r="R50" s="709">
        <v>3</v>
      </c>
      <c r="S50" s="741" t="s">
        <v>268</v>
      </c>
      <c r="T50" s="708">
        <v>1091000</v>
      </c>
      <c r="U50" s="708">
        <f>R50*T50*V50</f>
        <v>3273000</v>
      </c>
      <c r="V50" s="710">
        <v>1</v>
      </c>
      <c r="W50" s="708"/>
      <c r="X50" s="708"/>
      <c r="Y50" s="708">
        <f t="shared" si="14"/>
        <v>0</v>
      </c>
      <c r="Z50" s="711"/>
      <c r="AA50" s="708">
        <f>P50+U50+W50+X50+Z50</f>
        <v>3273000</v>
      </c>
      <c r="AB50" s="717"/>
      <c r="AC50" s="705"/>
      <c r="AD50" s="713"/>
      <c r="AE50" s="713"/>
      <c r="AF50" s="713"/>
      <c r="AG50" s="713"/>
      <c r="AH50" s="713"/>
      <c r="AI50" s="713"/>
      <c r="AJ50" s="713"/>
      <c r="AK50" s="713"/>
      <c r="AL50" s="713"/>
      <c r="AM50" s="713"/>
      <c r="AN50" s="713"/>
    </row>
    <row r="51" spans="1:40" s="714" customFormat="1" ht="126.75" customHeight="1">
      <c r="A51" s="703"/>
      <c r="B51" s="704"/>
      <c r="C51" s="705"/>
      <c r="D51" s="705"/>
      <c r="E51" s="705"/>
      <c r="F51" s="705"/>
      <c r="G51" s="705"/>
      <c r="H51" s="737"/>
      <c r="I51" s="705"/>
      <c r="J51" s="705"/>
      <c r="K51" s="705"/>
      <c r="L51" s="705"/>
      <c r="M51" s="707"/>
      <c r="N51" s="740"/>
      <c r="O51" s="708"/>
      <c r="P51" s="708"/>
      <c r="Q51" s="709" t="s">
        <v>339</v>
      </c>
      <c r="R51" s="709">
        <v>7</v>
      </c>
      <c r="S51" s="741" t="s">
        <v>268</v>
      </c>
      <c r="T51" s="708">
        <v>163000</v>
      </c>
      <c r="U51" s="708">
        <f>T51*R51*V51</f>
        <v>1141000</v>
      </c>
      <c r="V51" s="710">
        <v>1</v>
      </c>
      <c r="W51" s="708"/>
      <c r="X51" s="708"/>
      <c r="Y51" s="708">
        <f t="shared" si="14"/>
        <v>0</v>
      </c>
      <c r="Z51" s="711"/>
      <c r="AA51" s="708">
        <f t="shared" si="17"/>
        <v>1141000</v>
      </c>
      <c r="AB51" s="717"/>
      <c r="AC51" s="705"/>
      <c r="AD51" s="713"/>
      <c r="AE51" s="713"/>
      <c r="AF51" s="713"/>
      <c r="AG51" s="713"/>
      <c r="AH51" s="713"/>
      <c r="AI51" s="713"/>
      <c r="AJ51" s="713"/>
      <c r="AK51" s="713"/>
      <c r="AL51" s="713"/>
      <c r="AM51" s="713"/>
      <c r="AN51" s="713"/>
    </row>
    <row r="52" spans="1:40" s="714" customFormat="1" ht="126.75" customHeight="1">
      <c r="A52" s="703"/>
      <c r="B52" s="704"/>
      <c r="C52" s="705"/>
      <c r="D52" s="705"/>
      <c r="E52" s="705"/>
      <c r="F52" s="705"/>
      <c r="G52" s="705"/>
      <c r="H52" s="737"/>
      <c r="I52" s="705"/>
      <c r="J52" s="705"/>
      <c r="K52" s="705"/>
      <c r="L52" s="705"/>
      <c r="M52" s="705"/>
      <c r="N52" s="740"/>
      <c r="O52" s="708"/>
      <c r="P52" s="708"/>
      <c r="Q52" s="709" t="s">
        <v>340</v>
      </c>
      <c r="R52" s="709">
        <v>20</v>
      </c>
      <c r="S52" s="709" t="s">
        <v>379</v>
      </c>
      <c r="T52" s="708">
        <v>43000</v>
      </c>
      <c r="U52" s="708">
        <f>R52*T52*V52</f>
        <v>860000</v>
      </c>
      <c r="V52" s="710">
        <v>1</v>
      </c>
      <c r="W52" s="708"/>
      <c r="X52" s="708"/>
      <c r="Y52" s="708">
        <f t="shared" si="14"/>
        <v>0</v>
      </c>
      <c r="Z52" s="711"/>
      <c r="AA52" s="708">
        <f t="shared" si="17"/>
        <v>860000</v>
      </c>
      <c r="AB52" s="717"/>
      <c r="AC52" s="705"/>
      <c r="AD52" s="713"/>
      <c r="AE52" s="713"/>
      <c r="AF52" s="713"/>
      <c r="AG52" s="713"/>
      <c r="AH52" s="713"/>
      <c r="AI52" s="713"/>
      <c r="AJ52" s="713"/>
      <c r="AK52" s="713"/>
      <c r="AL52" s="713"/>
      <c r="AM52" s="713"/>
      <c r="AN52" s="713"/>
    </row>
    <row r="53" spans="1:40" s="714" customFormat="1" ht="126.75" customHeight="1">
      <c r="A53" s="703">
        <v>6</v>
      </c>
      <c r="B53" s="704" t="s">
        <v>230</v>
      </c>
      <c r="C53" s="705">
        <v>76</v>
      </c>
      <c r="D53" s="705">
        <v>81</v>
      </c>
      <c r="E53" s="705">
        <v>109.9</v>
      </c>
      <c r="F53" s="705" t="s">
        <v>45</v>
      </c>
      <c r="G53" s="705" t="s">
        <v>37</v>
      </c>
      <c r="H53" s="737"/>
      <c r="I53" s="707">
        <v>91</v>
      </c>
      <c r="J53" s="705"/>
      <c r="K53" s="705"/>
      <c r="L53" s="705"/>
      <c r="M53" s="705">
        <f>SUM(H53:L53)</f>
        <v>91</v>
      </c>
      <c r="N53" s="740"/>
      <c r="O53" s="708">
        <v>60000</v>
      </c>
      <c r="P53" s="708">
        <f>M53*O53</f>
        <v>5460000</v>
      </c>
      <c r="Q53" s="709"/>
      <c r="R53" s="709"/>
      <c r="S53" s="709"/>
      <c r="T53" s="708"/>
      <c r="U53" s="708"/>
      <c r="V53" s="710"/>
      <c r="W53" s="708">
        <f>M53*10000</f>
        <v>910000</v>
      </c>
      <c r="X53" s="708">
        <f>M53*O53*3</f>
        <v>16380000</v>
      </c>
      <c r="Y53" s="708">
        <f t="shared" si="14"/>
        <v>0</v>
      </c>
      <c r="Z53" s="711">
        <f>Y53*3500000</f>
        <v>0</v>
      </c>
      <c r="AA53" s="708">
        <f t="shared" si="17"/>
        <v>22750000</v>
      </c>
      <c r="AB53" s="717"/>
      <c r="AC53" s="705"/>
      <c r="AD53" s="713"/>
      <c r="AE53" s="713"/>
      <c r="AF53" s="713"/>
      <c r="AG53" s="713"/>
      <c r="AH53" s="713"/>
      <c r="AI53" s="713"/>
      <c r="AJ53" s="713"/>
      <c r="AK53" s="713"/>
      <c r="AL53" s="713"/>
      <c r="AM53" s="713"/>
      <c r="AN53" s="713"/>
    </row>
    <row r="54" spans="1:40" s="714" customFormat="1" ht="126.75" customHeight="1">
      <c r="A54" s="703">
        <v>6</v>
      </c>
      <c r="B54" s="704" t="s">
        <v>230</v>
      </c>
      <c r="C54" s="705">
        <v>76</v>
      </c>
      <c r="D54" s="705">
        <v>81</v>
      </c>
      <c r="E54" s="705">
        <v>109.9</v>
      </c>
      <c r="F54" s="705" t="s">
        <v>45</v>
      </c>
      <c r="G54" s="705" t="s">
        <v>37</v>
      </c>
      <c r="H54" s="737"/>
      <c r="I54" s="737"/>
      <c r="J54" s="737"/>
      <c r="K54" s="737"/>
      <c r="L54" s="737"/>
      <c r="M54" s="707"/>
      <c r="N54" s="743"/>
      <c r="O54" s="737"/>
      <c r="P54" s="737"/>
      <c r="Q54" s="709" t="s">
        <v>341</v>
      </c>
      <c r="R54" s="709">
        <v>15</v>
      </c>
      <c r="S54" s="709" t="s">
        <v>379</v>
      </c>
      <c r="T54" s="708">
        <v>43000</v>
      </c>
      <c r="U54" s="708">
        <f>R54*T54*V54</f>
        <v>645000</v>
      </c>
      <c r="V54" s="710">
        <v>1</v>
      </c>
      <c r="W54" s="708"/>
      <c r="X54" s="708"/>
      <c r="Y54" s="708"/>
      <c r="Z54" s="708"/>
      <c r="AA54" s="708">
        <f t="shared" si="17"/>
        <v>645000</v>
      </c>
      <c r="AB54" s="717"/>
      <c r="AC54" s="705"/>
      <c r="AD54" s="713"/>
      <c r="AE54" s="713"/>
      <c r="AF54" s="713"/>
      <c r="AG54" s="713"/>
      <c r="AH54" s="713"/>
      <c r="AI54" s="713"/>
      <c r="AJ54" s="713"/>
      <c r="AK54" s="713"/>
      <c r="AL54" s="713"/>
      <c r="AM54" s="713"/>
      <c r="AN54" s="713"/>
    </row>
    <row r="55" spans="1:40" s="714" customFormat="1" ht="126.75" customHeight="1">
      <c r="A55" s="703">
        <v>6</v>
      </c>
      <c r="B55" s="704" t="s">
        <v>230</v>
      </c>
      <c r="C55" s="705">
        <v>76</v>
      </c>
      <c r="D55" s="705">
        <v>81</v>
      </c>
      <c r="E55" s="705">
        <v>109.9</v>
      </c>
      <c r="F55" s="705" t="s">
        <v>45</v>
      </c>
      <c r="G55" s="705" t="s">
        <v>37</v>
      </c>
      <c r="H55" s="737"/>
      <c r="I55" s="737"/>
      <c r="J55" s="737"/>
      <c r="K55" s="737"/>
      <c r="L55" s="737"/>
      <c r="M55" s="705"/>
      <c r="N55" s="743"/>
      <c r="O55" s="737"/>
      <c r="P55" s="737"/>
      <c r="Q55" s="709" t="s">
        <v>30</v>
      </c>
      <c r="R55" s="709">
        <v>79</v>
      </c>
      <c r="S55" s="709" t="s">
        <v>379</v>
      </c>
      <c r="T55" s="708">
        <v>9500</v>
      </c>
      <c r="U55" s="708">
        <f>R55*T55*V55</f>
        <v>750500</v>
      </c>
      <c r="V55" s="710">
        <v>1</v>
      </c>
      <c r="W55" s="708"/>
      <c r="X55" s="708"/>
      <c r="Y55" s="708"/>
      <c r="Z55" s="708"/>
      <c r="AA55" s="708">
        <f>P55+U55+W55+X55+Z55</f>
        <v>750500</v>
      </c>
      <c r="AB55" s="717"/>
      <c r="AC55" s="705"/>
      <c r="AD55" s="713"/>
      <c r="AE55" s="713"/>
      <c r="AF55" s="713"/>
      <c r="AG55" s="713"/>
      <c r="AH55" s="713"/>
      <c r="AI55" s="713"/>
      <c r="AJ55" s="713"/>
      <c r="AK55" s="713"/>
      <c r="AL55" s="713"/>
      <c r="AM55" s="713"/>
      <c r="AN55" s="713"/>
    </row>
    <row r="56" spans="1:40" s="655" customFormat="1" ht="22.5">
      <c r="A56" s="700"/>
      <c r="B56" s="701"/>
      <c r="M56" s="702"/>
      <c r="Y56" s="702"/>
      <c r="Z56" s="654"/>
      <c r="AA56" s="700"/>
      <c r="AB56" s="700"/>
      <c r="AD56" s="654"/>
      <c r="AE56" s="654"/>
      <c r="AF56" s="654"/>
      <c r="AG56" s="654"/>
      <c r="AH56" s="654"/>
      <c r="AI56" s="654"/>
      <c r="AJ56" s="654"/>
      <c r="AK56" s="654"/>
      <c r="AL56" s="654"/>
      <c r="AM56" s="654"/>
      <c r="AN56" s="654"/>
    </row>
    <row r="57" spans="1:40" s="655" customFormat="1" ht="22.5">
      <c r="A57" s="700"/>
      <c r="B57" s="701"/>
      <c r="M57" s="702"/>
      <c r="Y57" s="702"/>
      <c r="Z57" s="654"/>
      <c r="AA57" s="700"/>
      <c r="AB57" s="700"/>
      <c r="AD57" s="654"/>
      <c r="AE57" s="654"/>
      <c r="AF57" s="654"/>
      <c r="AG57" s="654"/>
      <c r="AH57" s="654"/>
      <c r="AI57" s="654"/>
      <c r="AJ57" s="654"/>
      <c r="AK57" s="654"/>
      <c r="AL57" s="654"/>
      <c r="AM57" s="654"/>
      <c r="AN57" s="654"/>
    </row>
    <row r="58" spans="1:40" s="655" customFormat="1" ht="22.5">
      <c r="A58" s="700"/>
      <c r="B58" s="701"/>
      <c r="M58" s="702"/>
      <c r="Y58" s="702"/>
      <c r="Z58" s="654"/>
      <c r="AA58" s="700"/>
      <c r="AB58" s="700"/>
      <c r="AD58" s="654"/>
      <c r="AE58" s="654"/>
      <c r="AF58" s="654"/>
      <c r="AG58" s="654"/>
      <c r="AH58" s="654"/>
      <c r="AI58" s="654"/>
      <c r="AJ58" s="654"/>
      <c r="AK58" s="654"/>
      <c r="AL58" s="654"/>
      <c r="AM58" s="654"/>
      <c r="AN58" s="654"/>
    </row>
    <row r="59" spans="1:40" s="655" customFormat="1" ht="22.5">
      <c r="A59" s="700"/>
      <c r="B59" s="701"/>
      <c r="M59" s="702"/>
      <c r="Y59" s="702"/>
      <c r="Z59" s="654"/>
      <c r="AA59" s="700"/>
      <c r="AB59" s="700"/>
      <c r="AD59" s="654"/>
      <c r="AE59" s="654"/>
      <c r="AF59" s="654"/>
      <c r="AG59" s="654"/>
      <c r="AH59" s="654"/>
      <c r="AI59" s="654"/>
      <c r="AJ59" s="654"/>
      <c r="AK59" s="654"/>
      <c r="AL59" s="654"/>
      <c r="AM59" s="654"/>
      <c r="AN59" s="654"/>
    </row>
    <row r="60" spans="1:40" s="655" customFormat="1" ht="22.5">
      <c r="A60" s="700"/>
      <c r="B60" s="701"/>
      <c r="M60" s="702"/>
      <c r="Y60" s="702"/>
      <c r="Z60" s="654"/>
      <c r="AA60" s="700"/>
      <c r="AB60" s="700"/>
      <c r="AD60" s="654"/>
      <c r="AE60" s="654"/>
      <c r="AF60" s="654"/>
      <c r="AG60" s="654"/>
      <c r="AH60" s="654"/>
      <c r="AI60" s="654"/>
      <c r="AJ60" s="654"/>
      <c r="AK60" s="654"/>
      <c r="AL60" s="654"/>
      <c r="AM60" s="654"/>
      <c r="AN60" s="654"/>
    </row>
    <row r="61" spans="1:40" s="655" customFormat="1" ht="22.5">
      <c r="A61" s="700"/>
      <c r="B61" s="701"/>
      <c r="M61" s="702"/>
      <c r="Y61" s="702"/>
      <c r="Z61" s="654"/>
      <c r="AA61" s="700"/>
      <c r="AB61" s="700"/>
      <c r="AD61" s="654"/>
      <c r="AE61" s="654"/>
      <c r="AF61" s="654"/>
      <c r="AG61" s="654"/>
      <c r="AH61" s="654"/>
      <c r="AI61" s="654"/>
      <c r="AJ61" s="654"/>
      <c r="AK61" s="654"/>
      <c r="AL61" s="654"/>
      <c r="AM61" s="654"/>
      <c r="AN61" s="654"/>
    </row>
    <row r="62" spans="1:40" s="655" customFormat="1" ht="22.5">
      <c r="A62" s="700"/>
      <c r="B62" s="701"/>
      <c r="M62" s="702"/>
      <c r="Y62" s="702"/>
      <c r="Z62" s="654"/>
      <c r="AA62" s="700"/>
      <c r="AB62" s="700"/>
      <c r="AD62" s="654"/>
      <c r="AE62" s="654"/>
      <c r="AF62" s="654"/>
      <c r="AG62" s="654"/>
      <c r="AH62" s="654"/>
      <c r="AI62" s="654"/>
      <c r="AJ62" s="654"/>
      <c r="AK62" s="654"/>
      <c r="AL62" s="654"/>
      <c r="AM62" s="654"/>
      <c r="AN62" s="654"/>
    </row>
    <row r="63" spans="1:40" s="655" customFormat="1" ht="22.5">
      <c r="A63" s="700"/>
      <c r="B63" s="701"/>
      <c r="M63" s="702"/>
      <c r="Y63" s="702"/>
      <c r="Z63" s="654"/>
      <c r="AA63" s="700"/>
      <c r="AB63" s="700"/>
      <c r="AD63" s="654"/>
      <c r="AE63" s="654"/>
      <c r="AF63" s="654"/>
      <c r="AG63" s="654"/>
      <c r="AH63" s="654"/>
      <c r="AI63" s="654"/>
      <c r="AJ63" s="654"/>
      <c r="AK63" s="654"/>
      <c r="AL63" s="654"/>
      <c r="AM63" s="654"/>
      <c r="AN63" s="654"/>
    </row>
    <row r="64" spans="1:40" s="655" customFormat="1" ht="22.5">
      <c r="A64" s="700"/>
      <c r="B64" s="701"/>
      <c r="M64" s="702"/>
      <c r="Y64" s="702"/>
      <c r="Z64" s="654"/>
      <c r="AA64" s="700"/>
      <c r="AB64" s="700"/>
      <c r="AD64" s="654"/>
      <c r="AE64" s="654"/>
      <c r="AF64" s="654"/>
      <c r="AG64" s="654"/>
      <c r="AH64" s="654"/>
      <c r="AI64" s="654"/>
      <c r="AJ64" s="654"/>
      <c r="AK64" s="654"/>
      <c r="AL64" s="654"/>
      <c r="AM64" s="654"/>
      <c r="AN64" s="654"/>
    </row>
    <row r="65" spans="1:40" s="655" customFormat="1" ht="22.5">
      <c r="A65" s="700"/>
      <c r="B65" s="701"/>
      <c r="M65" s="702"/>
      <c r="Y65" s="702"/>
      <c r="Z65" s="654"/>
      <c r="AA65" s="700"/>
      <c r="AB65" s="700"/>
      <c r="AD65" s="654"/>
      <c r="AE65" s="654"/>
      <c r="AF65" s="654"/>
      <c r="AG65" s="654"/>
      <c r="AH65" s="654"/>
      <c r="AI65" s="654"/>
      <c r="AJ65" s="654"/>
      <c r="AK65" s="654"/>
      <c r="AL65" s="654"/>
      <c r="AM65" s="654"/>
      <c r="AN65" s="654"/>
    </row>
    <row r="66" spans="1:40" s="655" customFormat="1" ht="22.5">
      <c r="A66" s="700"/>
      <c r="B66" s="701"/>
      <c r="M66" s="702"/>
      <c r="Y66" s="702"/>
      <c r="Z66" s="654"/>
      <c r="AA66" s="700"/>
      <c r="AB66" s="700"/>
      <c r="AD66" s="654"/>
      <c r="AE66" s="654"/>
      <c r="AF66" s="654"/>
      <c r="AG66" s="654"/>
      <c r="AH66" s="654"/>
      <c r="AI66" s="654"/>
      <c r="AJ66" s="654"/>
      <c r="AK66" s="654"/>
      <c r="AL66" s="654"/>
      <c r="AM66" s="654"/>
      <c r="AN66" s="654"/>
    </row>
    <row r="67" spans="1:40" s="655" customFormat="1" ht="22.5">
      <c r="A67" s="700"/>
      <c r="B67" s="701"/>
      <c r="M67" s="702"/>
      <c r="Y67" s="702"/>
      <c r="Z67" s="654"/>
      <c r="AA67" s="700"/>
      <c r="AB67" s="700"/>
      <c r="AD67" s="654"/>
      <c r="AE67" s="654"/>
      <c r="AF67" s="654"/>
      <c r="AG67" s="654"/>
      <c r="AH67" s="654"/>
      <c r="AI67" s="654"/>
      <c r="AJ67" s="654"/>
      <c r="AK67" s="654"/>
      <c r="AL67" s="654"/>
      <c r="AM67" s="654"/>
      <c r="AN67" s="654"/>
    </row>
    <row r="68" spans="1:40" s="655" customFormat="1" ht="22.5">
      <c r="A68" s="700"/>
      <c r="B68" s="701"/>
      <c r="M68" s="702"/>
      <c r="Y68" s="702"/>
      <c r="Z68" s="654"/>
      <c r="AA68" s="700"/>
      <c r="AB68" s="700"/>
      <c r="AD68" s="654"/>
      <c r="AE68" s="654"/>
      <c r="AF68" s="654"/>
      <c r="AG68" s="654"/>
      <c r="AH68" s="654"/>
      <c r="AI68" s="654"/>
      <c r="AJ68" s="654"/>
      <c r="AK68" s="654"/>
      <c r="AL68" s="654"/>
      <c r="AM68" s="654"/>
      <c r="AN68" s="654"/>
    </row>
    <row r="69" spans="1:40" s="655" customFormat="1" ht="22.5">
      <c r="A69" s="700"/>
      <c r="B69" s="701"/>
      <c r="M69" s="702"/>
      <c r="Y69" s="702"/>
      <c r="Z69" s="654"/>
      <c r="AA69" s="700"/>
      <c r="AB69" s="700"/>
      <c r="AD69" s="654"/>
      <c r="AE69" s="654"/>
      <c r="AF69" s="654"/>
      <c r="AG69" s="654"/>
      <c r="AH69" s="654"/>
      <c r="AI69" s="654"/>
      <c r="AJ69" s="654"/>
      <c r="AK69" s="654"/>
      <c r="AL69" s="654"/>
      <c r="AM69" s="654"/>
      <c r="AN69" s="654"/>
    </row>
    <row r="70" spans="1:40" s="655" customFormat="1" ht="22.5">
      <c r="A70" s="700"/>
      <c r="B70" s="701"/>
      <c r="M70" s="702"/>
      <c r="Y70" s="702"/>
      <c r="Z70" s="654"/>
      <c r="AA70" s="700"/>
      <c r="AB70" s="700"/>
      <c r="AD70" s="654"/>
      <c r="AE70" s="654"/>
      <c r="AF70" s="654"/>
      <c r="AG70" s="654"/>
      <c r="AH70" s="654"/>
      <c r="AI70" s="654"/>
      <c r="AJ70" s="654"/>
      <c r="AK70" s="654"/>
      <c r="AL70" s="654"/>
      <c r="AM70" s="654"/>
      <c r="AN70" s="654"/>
    </row>
    <row r="71" spans="1:40" s="655" customFormat="1" ht="22.5">
      <c r="A71" s="700"/>
      <c r="B71" s="701"/>
      <c r="M71" s="702"/>
      <c r="Y71" s="702"/>
      <c r="Z71" s="654"/>
      <c r="AA71" s="700"/>
      <c r="AB71" s="700"/>
      <c r="AD71" s="654"/>
      <c r="AE71" s="654"/>
      <c r="AF71" s="654"/>
      <c r="AG71" s="654"/>
      <c r="AH71" s="654"/>
      <c r="AI71" s="654"/>
      <c r="AJ71" s="654"/>
      <c r="AK71" s="654"/>
      <c r="AL71" s="654"/>
      <c r="AM71" s="654"/>
      <c r="AN71" s="654"/>
    </row>
    <row r="72" spans="1:40" s="655" customFormat="1" ht="22.5">
      <c r="A72" s="700"/>
      <c r="B72" s="701"/>
      <c r="M72" s="702"/>
      <c r="Y72" s="702"/>
      <c r="Z72" s="654"/>
      <c r="AA72" s="700"/>
      <c r="AB72" s="700"/>
      <c r="AD72" s="654"/>
      <c r="AE72" s="654"/>
      <c r="AF72" s="654"/>
      <c r="AG72" s="654"/>
      <c r="AH72" s="654"/>
      <c r="AI72" s="654"/>
      <c r="AJ72" s="654"/>
      <c r="AK72" s="654"/>
      <c r="AL72" s="654"/>
      <c r="AM72" s="654"/>
      <c r="AN72" s="654"/>
    </row>
    <row r="73" spans="1:40" s="655" customFormat="1" ht="22.5">
      <c r="A73" s="700"/>
      <c r="B73" s="701"/>
      <c r="M73" s="702"/>
      <c r="Y73" s="702"/>
      <c r="Z73" s="654"/>
      <c r="AA73" s="700"/>
      <c r="AB73" s="700"/>
      <c r="AD73" s="654"/>
      <c r="AE73" s="654"/>
      <c r="AF73" s="654"/>
      <c r="AG73" s="654"/>
      <c r="AH73" s="654"/>
      <c r="AI73" s="654"/>
      <c r="AJ73" s="654"/>
      <c r="AK73" s="654"/>
      <c r="AL73" s="654"/>
      <c r="AM73" s="654"/>
      <c r="AN73" s="654"/>
    </row>
    <row r="74" spans="1:40" s="655" customFormat="1" ht="22.5">
      <c r="A74" s="700"/>
      <c r="B74" s="701"/>
      <c r="M74" s="702"/>
      <c r="Y74" s="702"/>
      <c r="Z74" s="654"/>
      <c r="AA74" s="700"/>
      <c r="AB74" s="700"/>
      <c r="AD74" s="654"/>
      <c r="AE74" s="654"/>
      <c r="AF74" s="654"/>
      <c r="AG74" s="654"/>
      <c r="AH74" s="654"/>
      <c r="AI74" s="654"/>
      <c r="AJ74" s="654"/>
      <c r="AK74" s="654"/>
      <c r="AL74" s="654"/>
      <c r="AM74" s="654"/>
      <c r="AN74" s="654"/>
    </row>
    <row r="75" spans="1:40" s="655" customFormat="1" ht="22.5">
      <c r="A75" s="700"/>
      <c r="B75" s="701"/>
      <c r="M75" s="702"/>
      <c r="Y75" s="702"/>
      <c r="Z75" s="654"/>
      <c r="AA75" s="700"/>
      <c r="AB75" s="700"/>
      <c r="AD75" s="654"/>
      <c r="AE75" s="654"/>
      <c r="AF75" s="654"/>
      <c r="AG75" s="654"/>
      <c r="AH75" s="654"/>
      <c r="AI75" s="654"/>
      <c r="AJ75" s="654"/>
      <c r="AK75" s="654"/>
      <c r="AL75" s="654"/>
      <c r="AM75" s="654"/>
      <c r="AN75" s="654"/>
    </row>
    <row r="76" spans="1:40" s="655" customFormat="1" ht="22.5">
      <c r="A76" s="700"/>
      <c r="B76" s="701"/>
      <c r="M76" s="702"/>
      <c r="Y76" s="702"/>
      <c r="Z76" s="654"/>
      <c r="AA76" s="700"/>
      <c r="AB76" s="700"/>
      <c r="AD76" s="654"/>
      <c r="AE76" s="654"/>
      <c r="AF76" s="654"/>
      <c r="AG76" s="654"/>
      <c r="AH76" s="654"/>
      <c r="AI76" s="654"/>
      <c r="AJ76" s="654"/>
      <c r="AK76" s="654"/>
      <c r="AL76" s="654"/>
      <c r="AM76" s="654"/>
      <c r="AN76" s="654"/>
    </row>
    <row r="77" spans="1:40" s="655" customFormat="1" ht="22.5">
      <c r="A77" s="700"/>
      <c r="B77" s="701"/>
      <c r="M77" s="702"/>
      <c r="Y77" s="702"/>
      <c r="Z77" s="654"/>
      <c r="AA77" s="700"/>
      <c r="AB77" s="700"/>
      <c r="AD77" s="654"/>
      <c r="AE77" s="654"/>
      <c r="AF77" s="654"/>
      <c r="AG77" s="654"/>
      <c r="AH77" s="654"/>
      <c r="AI77" s="654"/>
      <c r="AJ77" s="654"/>
      <c r="AK77" s="654"/>
      <c r="AL77" s="654"/>
      <c r="AM77" s="654"/>
      <c r="AN77" s="654"/>
    </row>
    <row r="78" spans="1:40" s="655" customFormat="1" ht="22.5">
      <c r="A78" s="700"/>
      <c r="B78" s="701"/>
      <c r="M78" s="702"/>
      <c r="Y78" s="702"/>
      <c r="Z78" s="654"/>
      <c r="AA78" s="700"/>
      <c r="AB78" s="700"/>
      <c r="AD78" s="654"/>
      <c r="AE78" s="654"/>
      <c r="AF78" s="654"/>
      <c r="AG78" s="654"/>
      <c r="AH78" s="654"/>
      <c r="AI78" s="654"/>
      <c r="AJ78" s="654"/>
      <c r="AK78" s="654"/>
      <c r="AL78" s="654"/>
      <c r="AM78" s="654"/>
      <c r="AN78" s="654"/>
    </row>
    <row r="79" spans="1:40" s="655" customFormat="1" ht="22.5">
      <c r="A79" s="700"/>
      <c r="B79" s="701"/>
      <c r="M79" s="702"/>
      <c r="Y79" s="702"/>
      <c r="Z79" s="654"/>
      <c r="AA79" s="700"/>
      <c r="AB79" s="700"/>
      <c r="AD79" s="654"/>
      <c r="AE79" s="654"/>
      <c r="AF79" s="654"/>
      <c r="AG79" s="654"/>
      <c r="AH79" s="654"/>
      <c r="AI79" s="654"/>
      <c r="AJ79" s="654"/>
      <c r="AK79" s="654"/>
      <c r="AL79" s="654"/>
      <c r="AM79" s="654"/>
      <c r="AN79" s="654"/>
    </row>
    <row r="80" spans="1:40" s="655" customFormat="1" ht="22.5">
      <c r="A80" s="700"/>
      <c r="B80" s="701"/>
      <c r="M80" s="702"/>
      <c r="Y80" s="702"/>
      <c r="Z80" s="654"/>
      <c r="AA80" s="700"/>
      <c r="AB80" s="700"/>
      <c r="AD80" s="654"/>
      <c r="AE80" s="654"/>
      <c r="AF80" s="654"/>
      <c r="AG80" s="654"/>
      <c r="AH80" s="654"/>
      <c r="AI80" s="654"/>
      <c r="AJ80" s="654"/>
      <c r="AK80" s="654"/>
      <c r="AL80" s="654"/>
      <c r="AM80" s="654"/>
      <c r="AN80" s="654"/>
    </row>
    <row r="81" spans="1:40" s="655" customFormat="1" ht="22.5">
      <c r="A81" s="700"/>
      <c r="B81" s="701"/>
      <c r="M81" s="702"/>
      <c r="Y81" s="702"/>
      <c r="Z81" s="654"/>
      <c r="AA81" s="700"/>
      <c r="AB81" s="700"/>
      <c r="AD81" s="654"/>
      <c r="AE81" s="654"/>
      <c r="AF81" s="654"/>
      <c r="AG81" s="654"/>
      <c r="AH81" s="654"/>
      <c r="AI81" s="654"/>
      <c r="AJ81" s="654"/>
      <c r="AK81" s="654"/>
      <c r="AL81" s="654"/>
      <c r="AM81" s="654"/>
      <c r="AN81" s="654"/>
    </row>
    <row r="82" spans="1:40" s="655" customFormat="1" ht="22.5">
      <c r="A82" s="700"/>
      <c r="B82" s="701"/>
      <c r="M82" s="702"/>
      <c r="Y82" s="702"/>
      <c r="Z82" s="654"/>
      <c r="AA82" s="700"/>
      <c r="AB82" s="700"/>
      <c r="AD82" s="654"/>
      <c r="AE82" s="654"/>
      <c r="AF82" s="654"/>
      <c r="AG82" s="654"/>
      <c r="AH82" s="654"/>
      <c r="AI82" s="654"/>
      <c r="AJ82" s="654"/>
      <c r="AK82" s="654"/>
      <c r="AL82" s="654"/>
      <c r="AM82" s="654"/>
      <c r="AN82" s="654"/>
    </row>
    <row r="83" spans="1:40" s="655" customFormat="1" ht="22.5">
      <c r="A83" s="700"/>
      <c r="B83" s="701"/>
      <c r="M83" s="702"/>
      <c r="Y83" s="702"/>
      <c r="Z83" s="654"/>
      <c r="AA83" s="700"/>
      <c r="AB83" s="700"/>
      <c r="AD83" s="654"/>
      <c r="AE83" s="654"/>
      <c r="AF83" s="654"/>
      <c r="AG83" s="654"/>
      <c r="AH83" s="654"/>
      <c r="AI83" s="654"/>
      <c r="AJ83" s="654"/>
      <c r="AK83" s="654"/>
      <c r="AL83" s="654"/>
      <c r="AM83" s="654"/>
      <c r="AN83" s="654"/>
    </row>
    <row r="84" spans="1:40" s="655" customFormat="1" ht="22.5">
      <c r="A84" s="700"/>
      <c r="B84" s="701"/>
      <c r="M84" s="702"/>
      <c r="Y84" s="702"/>
      <c r="Z84" s="654"/>
      <c r="AA84" s="700"/>
      <c r="AB84" s="700"/>
      <c r="AD84" s="654"/>
      <c r="AE84" s="654"/>
      <c r="AF84" s="654"/>
      <c r="AG84" s="654"/>
      <c r="AH84" s="654"/>
      <c r="AI84" s="654"/>
      <c r="AJ84" s="654"/>
      <c r="AK84" s="654"/>
      <c r="AL84" s="654"/>
      <c r="AM84" s="654"/>
      <c r="AN84" s="654"/>
    </row>
    <row r="85" spans="1:40" s="655" customFormat="1" ht="22.5">
      <c r="A85" s="700"/>
      <c r="B85" s="701"/>
      <c r="M85" s="702"/>
      <c r="Y85" s="702"/>
      <c r="Z85" s="654"/>
      <c r="AA85" s="700"/>
      <c r="AB85" s="700"/>
      <c r="AD85" s="654"/>
      <c r="AE85" s="654"/>
      <c r="AF85" s="654"/>
      <c r="AG85" s="654"/>
      <c r="AH85" s="654"/>
      <c r="AI85" s="654"/>
      <c r="AJ85" s="654"/>
      <c r="AK85" s="654"/>
      <c r="AL85" s="654"/>
      <c r="AM85" s="654"/>
      <c r="AN85" s="654"/>
    </row>
    <row r="86" spans="1:40" s="655" customFormat="1" ht="22.5">
      <c r="A86" s="700"/>
      <c r="B86" s="701"/>
      <c r="M86" s="702"/>
      <c r="Y86" s="702"/>
      <c r="Z86" s="654"/>
      <c r="AA86" s="700"/>
      <c r="AB86" s="700"/>
      <c r="AD86" s="654"/>
      <c r="AE86" s="654"/>
      <c r="AF86" s="654"/>
      <c r="AG86" s="654"/>
      <c r="AH86" s="654"/>
      <c r="AI86" s="654"/>
      <c r="AJ86" s="654"/>
      <c r="AK86" s="654"/>
      <c r="AL86" s="654"/>
      <c r="AM86" s="654"/>
      <c r="AN86" s="654"/>
    </row>
    <row r="87" spans="1:40" s="655" customFormat="1" ht="22.5">
      <c r="A87" s="700"/>
      <c r="B87" s="701"/>
      <c r="M87" s="702"/>
      <c r="Y87" s="702"/>
      <c r="Z87" s="654"/>
      <c r="AA87" s="700"/>
      <c r="AB87" s="700"/>
      <c r="AD87" s="654"/>
      <c r="AE87" s="654"/>
      <c r="AF87" s="654"/>
      <c r="AG87" s="654"/>
      <c r="AH87" s="654"/>
      <c r="AI87" s="654"/>
      <c r="AJ87" s="654"/>
      <c r="AK87" s="654"/>
      <c r="AL87" s="654"/>
      <c r="AM87" s="654"/>
      <c r="AN87" s="654"/>
    </row>
    <row r="88" spans="1:40" s="655" customFormat="1" ht="22.5">
      <c r="A88" s="700"/>
      <c r="B88" s="701"/>
      <c r="M88" s="702"/>
      <c r="Y88" s="702"/>
      <c r="Z88" s="654"/>
      <c r="AA88" s="700"/>
      <c r="AB88" s="700"/>
      <c r="AD88" s="654"/>
      <c r="AE88" s="654"/>
      <c r="AF88" s="654"/>
      <c r="AG88" s="654"/>
      <c r="AH88" s="654"/>
      <c r="AI88" s="654"/>
      <c r="AJ88" s="654"/>
      <c r="AK88" s="654"/>
      <c r="AL88" s="654"/>
      <c r="AM88" s="654"/>
      <c r="AN88" s="654"/>
    </row>
  </sheetData>
  <sheetProtection/>
  <autoFilter ref="A6:AC55"/>
  <mergeCells count="37">
    <mergeCell ref="O24:O25"/>
    <mergeCell ref="P24:P25"/>
    <mergeCell ref="C24:C25"/>
    <mergeCell ref="D24:D25"/>
    <mergeCell ref="E24:E25"/>
    <mergeCell ref="F24:F25"/>
    <mergeCell ref="G24:G25"/>
    <mergeCell ref="W24:W25"/>
    <mergeCell ref="V24:V25"/>
    <mergeCell ref="AB4:AB5"/>
    <mergeCell ref="N4:N5"/>
    <mergeCell ref="Q24:Q25"/>
    <mergeCell ref="R24:R25"/>
    <mergeCell ref="S24:S25"/>
    <mergeCell ref="T24:T25"/>
    <mergeCell ref="U24:U25"/>
    <mergeCell ref="N24:N25"/>
    <mergeCell ref="Q4:V4"/>
    <mergeCell ref="W4:Z4"/>
    <mergeCell ref="I24:I25"/>
    <mergeCell ref="J24:J25"/>
    <mergeCell ref="A3:AC3"/>
    <mergeCell ref="G4:G5"/>
    <mergeCell ref="AC4:AC5"/>
    <mergeCell ref="Z24:Z25"/>
    <mergeCell ref="Y24:Y25"/>
    <mergeCell ref="X24:X25"/>
    <mergeCell ref="A1:AC1"/>
    <mergeCell ref="A2:AC2"/>
    <mergeCell ref="A4:A5"/>
    <mergeCell ref="B4:B5"/>
    <mergeCell ref="C4:F4"/>
    <mergeCell ref="A7:B7"/>
    <mergeCell ref="M4:M5"/>
    <mergeCell ref="AA4:AA5"/>
    <mergeCell ref="H4:K4"/>
    <mergeCell ref="O4:P4"/>
  </mergeCells>
  <printOptions/>
  <pageMargins left="0.393700787401575" right="0.393700787401575" top="0.393700787401575" bottom="0.393700787401575" header="0.118109142607174" footer="0.118109142607174"/>
  <pageSetup horizontalDpi="600" verticalDpi="600" orientation="landscape" paperSize="8" scale="40" r:id="rId1"/>
  <colBreaks count="1" manualBreakCount="1">
    <brk id="29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8515625" style="691" customWidth="1"/>
    <col min="2" max="2" width="46.8515625" style="691" customWidth="1"/>
    <col min="3" max="3" width="10.7109375" style="691" customWidth="1"/>
    <col min="4" max="4" width="8.8515625" style="691" customWidth="1"/>
    <col min="5" max="5" width="16.28125" style="691" customWidth="1"/>
    <col min="6" max="6" width="12.28125" style="691" customWidth="1"/>
    <col min="7" max="7" width="17.00390625" style="691" customWidth="1"/>
    <col min="8" max="8" width="32.421875" style="691" customWidth="1"/>
    <col min="9" max="12" width="8.8515625" style="691" customWidth="1"/>
    <col min="13" max="13" width="14.7109375" style="691" bestFit="1" customWidth="1"/>
    <col min="14" max="16384" width="8.8515625" style="691" customWidth="1"/>
  </cols>
  <sheetData>
    <row r="1" spans="1:8" ht="20.25">
      <c r="A1" s="1012" t="s">
        <v>380</v>
      </c>
      <c r="B1" s="1012"/>
      <c r="C1" s="1012"/>
      <c r="D1" s="1012"/>
      <c r="E1" s="1012"/>
      <c r="F1" s="1012"/>
      <c r="G1" s="1012"/>
      <c r="H1" s="1012"/>
    </row>
    <row r="2" spans="1:8" ht="20.25">
      <c r="A2" s="1013" t="s">
        <v>389</v>
      </c>
      <c r="B2" s="1013"/>
      <c r="C2" s="1013"/>
      <c r="D2" s="1013"/>
      <c r="E2" s="1013"/>
      <c r="F2" s="1013"/>
      <c r="G2" s="1013"/>
      <c r="H2" s="1013"/>
    </row>
    <row r="3" spans="1:8" ht="21">
      <c r="A3" s="677" t="s">
        <v>412</v>
      </c>
      <c r="B3" s="677"/>
      <c r="C3" s="677"/>
      <c r="D3" s="677"/>
      <c r="E3" s="677"/>
      <c r="F3" s="677"/>
      <c r="G3" s="677"/>
      <c r="H3" s="677"/>
    </row>
    <row r="4" spans="1:8" ht="60.75">
      <c r="A4" s="373" t="s">
        <v>136</v>
      </c>
      <c r="B4" s="678" t="s">
        <v>381</v>
      </c>
      <c r="C4" s="373" t="s">
        <v>20</v>
      </c>
      <c r="D4" s="373" t="s">
        <v>19</v>
      </c>
      <c r="E4" s="373" t="s">
        <v>12</v>
      </c>
      <c r="F4" s="679" t="s">
        <v>382</v>
      </c>
      <c r="G4" s="373" t="s">
        <v>21</v>
      </c>
      <c r="H4" s="373" t="s">
        <v>7</v>
      </c>
    </row>
    <row r="5" spans="1:8" ht="21">
      <c r="A5" s="680">
        <v>1</v>
      </c>
      <c r="B5" s="681">
        <v>2</v>
      </c>
      <c r="C5" s="680">
        <v>4</v>
      </c>
      <c r="D5" s="680">
        <v>3</v>
      </c>
      <c r="E5" s="680">
        <v>5</v>
      </c>
      <c r="F5" s="682">
        <v>6</v>
      </c>
      <c r="G5" s="680" t="s">
        <v>383</v>
      </c>
      <c r="H5" s="680">
        <v>8</v>
      </c>
    </row>
    <row r="6" spans="1:8" s="388" customFormat="1" ht="20.25">
      <c r="A6" s="746" t="s">
        <v>196</v>
      </c>
      <c r="B6" s="684" t="s">
        <v>384</v>
      </c>
      <c r="C6" s="686"/>
      <c r="D6" s="685"/>
      <c r="E6" s="746"/>
      <c r="F6" s="687"/>
      <c r="G6" s="688">
        <f>SUM(G7:G14)</f>
        <v>83455740</v>
      </c>
      <c r="H6" s="689"/>
    </row>
    <row r="7" spans="1:8" s="368" customFormat="1" ht="45.75" customHeight="1">
      <c r="A7" s="346">
        <v>1</v>
      </c>
      <c r="B7" s="690" t="s">
        <v>387</v>
      </c>
      <c r="C7" s="389">
        <v>3446.1</v>
      </c>
      <c r="D7" s="683" t="s">
        <v>371</v>
      </c>
      <c r="E7" s="390">
        <v>9500</v>
      </c>
      <c r="F7" s="494">
        <v>1</v>
      </c>
      <c r="G7" s="692">
        <f>C7*E7*F7</f>
        <v>32737950</v>
      </c>
      <c r="H7" s="693"/>
    </row>
    <row r="8" spans="1:13" s="388" customFormat="1" ht="45" customHeight="1">
      <c r="A8" s="394">
        <v>2</v>
      </c>
      <c r="B8" s="690" t="s">
        <v>348</v>
      </c>
      <c r="C8" s="389">
        <v>130</v>
      </c>
      <c r="D8" s="683" t="s">
        <v>385</v>
      </c>
      <c r="E8" s="390">
        <v>43000</v>
      </c>
      <c r="F8" s="494">
        <v>1</v>
      </c>
      <c r="G8" s="692">
        <f aca="true" t="shared" si="0" ref="G8:G14">C8*E8*F8</f>
        <v>5590000</v>
      </c>
      <c r="H8" s="693"/>
      <c r="M8" s="757">
        <f>G6-'pa ms sau 2014'!V8</f>
        <v>0</v>
      </c>
    </row>
    <row r="9" spans="1:8" s="368" customFormat="1" ht="45" customHeight="1">
      <c r="A9" s="346">
        <v>3</v>
      </c>
      <c r="B9" s="690" t="s">
        <v>300</v>
      </c>
      <c r="C9" s="389">
        <f>216.7</f>
        <v>216.7</v>
      </c>
      <c r="D9" s="683" t="s">
        <v>243</v>
      </c>
      <c r="E9" s="390">
        <v>13700</v>
      </c>
      <c r="F9" s="494">
        <v>1</v>
      </c>
      <c r="G9" s="692">
        <f t="shared" si="0"/>
        <v>2968790</v>
      </c>
      <c r="H9" s="693"/>
    </row>
    <row r="10" spans="1:8" s="368" customFormat="1" ht="45" customHeight="1">
      <c r="A10" s="394">
        <v>4</v>
      </c>
      <c r="B10" s="690" t="s">
        <v>386</v>
      </c>
      <c r="C10" s="389">
        <v>94</v>
      </c>
      <c r="D10" s="683" t="s">
        <v>268</v>
      </c>
      <c r="E10" s="390">
        <v>163000</v>
      </c>
      <c r="F10" s="494">
        <v>1</v>
      </c>
      <c r="G10" s="692">
        <f t="shared" si="0"/>
        <v>15322000</v>
      </c>
      <c r="H10" s="693"/>
    </row>
    <row r="11" spans="1:8" s="368" customFormat="1" ht="45" customHeight="1">
      <c r="A11" s="394">
        <v>5</v>
      </c>
      <c r="B11" s="690" t="s">
        <v>335</v>
      </c>
      <c r="C11" s="389">
        <v>17</v>
      </c>
      <c r="D11" s="683" t="s">
        <v>268</v>
      </c>
      <c r="E11" s="390">
        <v>1091000</v>
      </c>
      <c r="F11" s="494">
        <v>1</v>
      </c>
      <c r="G11" s="692">
        <f t="shared" si="0"/>
        <v>18547000</v>
      </c>
      <c r="H11" s="693"/>
    </row>
    <row r="12" spans="1:8" s="368" customFormat="1" ht="45.75" customHeight="1">
      <c r="A12" s="346">
        <v>6</v>
      </c>
      <c r="B12" s="690" t="s">
        <v>339</v>
      </c>
      <c r="C12" s="389">
        <v>7</v>
      </c>
      <c r="D12" s="683" t="s">
        <v>268</v>
      </c>
      <c r="E12" s="390">
        <v>163000</v>
      </c>
      <c r="F12" s="494">
        <v>1</v>
      </c>
      <c r="G12" s="692">
        <f t="shared" si="0"/>
        <v>1141000</v>
      </c>
      <c r="H12" s="356"/>
    </row>
    <row r="13" spans="1:8" s="368" customFormat="1" ht="45.75" customHeight="1">
      <c r="A13" s="346">
        <v>7</v>
      </c>
      <c r="B13" s="690" t="s">
        <v>306</v>
      </c>
      <c r="C13" s="389">
        <v>27</v>
      </c>
      <c r="D13" s="683" t="s">
        <v>268</v>
      </c>
      <c r="E13" s="390">
        <v>87000</v>
      </c>
      <c r="F13" s="494">
        <v>1</v>
      </c>
      <c r="G13" s="692">
        <f t="shared" si="0"/>
        <v>2349000</v>
      </c>
      <c r="H13" s="693"/>
    </row>
    <row r="14" spans="1:8" s="368" customFormat="1" ht="45.75" customHeight="1">
      <c r="A14" s="346">
        <v>8</v>
      </c>
      <c r="B14" s="690" t="s">
        <v>372</v>
      </c>
      <c r="C14" s="389">
        <v>50</v>
      </c>
      <c r="D14" s="683" t="s">
        <v>371</v>
      </c>
      <c r="E14" s="390">
        <v>120000</v>
      </c>
      <c r="F14" s="494">
        <v>0.8</v>
      </c>
      <c r="G14" s="692">
        <f t="shared" si="0"/>
        <v>4800000</v>
      </c>
      <c r="H14" s="693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5">
      <selection activeCell="A19" sqref="A19:IV19"/>
    </sheetView>
  </sheetViews>
  <sheetFormatPr defaultColWidth="9.140625" defaultRowHeight="12.75"/>
  <cols>
    <col min="1" max="1" width="8.8515625" style="691" customWidth="1"/>
    <col min="2" max="2" width="46.8515625" style="691" customWidth="1"/>
    <col min="3" max="3" width="10.7109375" style="691" customWidth="1"/>
    <col min="4" max="4" width="8.8515625" style="691" customWidth="1"/>
    <col min="5" max="5" width="16.28125" style="691" customWidth="1"/>
    <col min="6" max="6" width="12.28125" style="691" customWidth="1"/>
    <col min="7" max="7" width="17.00390625" style="691" customWidth="1"/>
    <col min="8" max="8" width="32.421875" style="691" customWidth="1"/>
    <col min="9" max="16384" width="8.8515625" style="691" customWidth="1"/>
  </cols>
  <sheetData>
    <row r="1" spans="1:8" ht="20.25">
      <c r="A1" s="1012" t="s">
        <v>380</v>
      </c>
      <c r="B1" s="1012"/>
      <c r="C1" s="1012"/>
      <c r="D1" s="1012"/>
      <c r="E1" s="1012"/>
      <c r="F1" s="1012"/>
      <c r="G1" s="1012"/>
      <c r="H1" s="1012"/>
    </row>
    <row r="2" spans="1:8" ht="20.25">
      <c r="A2" s="1013" t="s">
        <v>389</v>
      </c>
      <c r="B2" s="1013"/>
      <c r="C2" s="1013"/>
      <c r="D2" s="1013"/>
      <c r="E2" s="1013"/>
      <c r="F2" s="1013"/>
      <c r="G2" s="1013"/>
      <c r="H2" s="1013"/>
    </row>
    <row r="3" spans="1:8" ht="21">
      <c r="A3" s="677" t="s">
        <v>390</v>
      </c>
      <c r="B3" s="677"/>
      <c r="C3" s="677"/>
      <c r="D3" s="677"/>
      <c r="E3" s="677"/>
      <c r="F3" s="677"/>
      <c r="G3" s="677"/>
      <c r="H3" s="677"/>
    </row>
    <row r="4" spans="1:8" ht="60.75">
      <c r="A4" s="373" t="s">
        <v>136</v>
      </c>
      <c r="B4" s="678" t="s">
        <v>381</v>
      </c>
      <c r="C4" s="373" t="s">
        <v>20</v>
      </c>
      <c r="D4" s="373" t="s">
        <v>19</v>
      </c>
      <c r="E4" s="373" t="s">
        <v>12</v>
      </c>
      <c r="F4" s="679" t="s">
        <v>382</v>
      </c>
      <c r="G4" s="373" t="s">
        <v>21</v>
      </c>
      <c r="H4" s="373" t="s">
        <v>7</v>
      </c>
    </row>
    <row r="5" spans="1:8" ht="21">
      <c r="A5" s="680">
        <v>1</v>
      </c>
      <c r="B5" s="681">
        <v>2</v>
      </c>
      <c r="C5" s="680">
        <v>4</v>
      </c>
      <c r="D5" s="680">
        <v>3</v>
      </c>
      <c r="E5" s="680">
        <v>5</v>
      </c>
      <c r="F5" s="682">
        <v>6</v>
      </c>
      <c r="G5" s="680" t="s">
        <v>383</v>
      </c>
      <c r="H5" s="680">
        <v>8</v>
      </c>
    </row>
    <row r="6" spans="1:8" s="388" customFormat="1" ht="20.25">
      <c r="A6" s="633" t="s">
        <v>196</v>
      </c>
      <c r="B6" s="684" t="s">
        <v>384</v>
      </c>
      <c r="C6" s="686"/>
      <c r="D6" s="685"/>
      <c r="E6" s="633"/>
      <c r="F6" s="687"/>
      <c r="G6" s="688">
        <f>SUM(G7:G22)</f>
        <v>216642220</v>
      </c>
      <c r="H6" s="689"/>
    </row>
    <row r="7" spans="1:8" s="388" customFormat="1" ht="45" customHeight="1">
      <c r="A7" s="394">
        <v>1</v>
      </c>
      <c r="B7" s="690" t="s">
        <v>348</v>
      </c>
      <c r="C7" s="389">
        <v>43</v>
      </c>
      <c r="D7" s="683" t="s">
        <v>385</v>
      </c>
      <c r="E7" s="390">
        <v>43000</v>
      </c>
      <c r="F7" s="494">
        <v>1</v>
      </c>
      <c r="G7" s="692">
        <f aca="true" t="shared" si="0" ref="G7:G22">C7*E7*F7</f>
        <v>1849000</v>
      </c>
      <c r="H7" s="693"/>
    </row>
    <row r="8" spans="1:8" ht="45" customHeight="1">
      <c r="A8" s="694">
        <v>2</v>
      </c>
      <c r="B8" s="690" t="s">
        <v>300</v>
      </c>
      <c r="C8" s="389">
        <f>216.7</f>
        <v>216.7</v>
      </c>
      <c r="D8" s="683" t="s">
        <v>243</v>
      </c>
      <c r="E8" s="390">
        <v>13700</v>
      </c>
      <c r="F8" s="494">
        <v>1</v>
      </c>
      <c r="G8" s="692">
        <f t="shared" si="0"/>
        <v>2968790</v>
      </c>
      <c r="H8" s="693"/>
    </row>
    <row r="9" spans="1:8" ht="45" customHeight="1">
      <c r="A9" s="394">
        <v>3</v>
      </c>
      <c r="B9" s="690" t="s">
        <v>386</v>
      </c>
      <c r="C9" s="389">
        <v>70</v>
      </c>
      <c r="D9" s="683" t="s">
        <v>268</v>
      </c>
      <c r="E9" s="390">
        <v>163000</v>
      </c>
      <c r="F9" s="494">
        <v>1</v>
      </c>
      <c r="G9" s="692">
        <f t="shared" si="0"/>
        <v>11410000</v>
      </c>
      <c r="H9" s="693"/>
    </row>
    <row r="10" spans="1:8" ht="45" customHeight="1">
      <c r="A10" s="694">
        <v>4</v>
      </c>
      <c r="B10" s="690" t="s">
        <v>330</v>
      </c>
      <c r="C10" s="389">
        <f>1.1*3.5*5.8</f>
        <v>22.330000000000002</v>
      </c>
      <c r="D10" s="683" t="s">
        <v>331</v>
      </c>
      <c r="E10" s="390">
        <v>1460000</v>
      </c>
      <c r="F10" s="494">
        <v>0.8</v>
      </c>
      <c r="G10" s="692">
        <f t="shared" si="0"/>
        <v>26081440.000000004</v>
      </c>
      <c r="H10" s="693"/>
    </row>
    <row r="11" spans="1:8" ht="45" customHeight="1">
      <c r="A11" s="394">
        <v>5</v>
      </c>
      <c r="B11" s="690" t="s">
        <v>335</v>
      </c>
      <c r="C11" s="389">
        <v>17</v>
      </c>
      <c r="D11" s="683" t="s">
        <v>268</v>
      </c>
      <c r="E11" s="390">
        <v>1091000</v>
      </c>
      <c r="F11" s="494">
        <v>1</v>
      </c>
      <c r="G11" s="692">
        <f t="shared" si="0"/>
        <v>18547000</v>
      </c>
      <c r="H11" s="693"/>
    </row>
    <row r="12" spans="1:8" ht="45.75" customHeight="1">
      <c r="A12" s="694">
        <v>6</v>
      </c>
      <c r="B12" s="690" t="s">
        <v>348</v>
      </c>
      <c r="C12" s="389">
        <v>22</v>
      </c>
      <c r="D12" s="683" t="s">
        <v>371</v>
      </c>
      <c r="E12" s="390">
        <v>43000</v>
      </c>
      <c r="F12" s="494">
        <v>1</v>
      </c>
      <c r="G12" s="692">
        <f t="shared" si="0"/>
        <v>946000</v>
      </c>
      <c r="H12" s="693"/>
    </row>
    <row r="13" spans="1:8" ht="45.75" customHeight="1">
      <c r="A13" s="694">
        <v>7</v>
      </c>
      <c r="B13" s="690" t="s">
        <v>387</v>
      </c>
      <c r="C13" s="389">
        <v>3464.1</v>
      </c>
      <c r="D13" s="683" t="s">
        <v>371</v>
      </c>
      <c r="E13" s="390">
        <v>9500</v>
      </c>
      <c r="F13" s="494">
        <v>1</v>
      </c>
      <c r="G13" s="692">
        <f t="shared" si="0"/>
        <v>32908950</v>
      </c>
      <c r="H13" s="693"/>
    </row>
    <row r="14" spans="1:8" ht="45.75" customHeight="1">
      <c r="A14" s="694">
        <v>8</v>
      </c>
      <c r="B14" s="690" t="s">
        <v>388</v>
      </c>
      <c r="C14" s="389">
        <f>3*4.2</f>
        <v>12.600000000000001</v>
      </c>
      <c r="D14" s="683" t="s">
        <v>371</v>
      </c>
      <c r="E14" s="390">
        <v>1060000</v>
      </c>
      <c r="F14" s="494">
        <v>0.8</v>
      </c>
      <c r="G14" s="692">
        <f t="shared" si="0"/>
        <v>10684800.000000002</v>
      </c>
      <c r="H14" s="693"/>
    </row>
    <row r="15" spans="1:8" ht="45.75" customHeight="1">
      <c r="A15" s="694">
        <v>9</v>
      </c>
      <c r="B15" s="690" t="s">
        <v>339</v>
      </c>
      <c r="C15" s="389">
        <v>7</v>
      </c>
      <c r="D15" s="683" t="s">
        <v>268</v>
      </c>
      <c r="E15" s="390">
        <v>163000</v>
      </c>
      <c r="F15" s="494">
        <v>1</v>
      </c>
      <c r="G15" s="692">
        <f t="shared" si="0"/>
        <v>1141000</v>
      </c>
      <c r="H15" s="695"/>
    </row>
    <row r="16" spans="1:8" ht="45.75" customHeight="1">
      <c r="A16" s="694">
        <v>10</v>
      </c>
      <c r="B16" s="690" t="s">
        <v>306</v>
      </c>
      <c r="C16" s="389">
        <v>27</v>
      </c>
      <c r="D16" s="683" t="s">
        <v>268</v>
      </c>
      <c r="E16" s="390">
        <v>87000</v>
      </c>
      <c r="F16" s="494">
        <v>1</v>
      </c>
      <c r="G16" s="692">
        <f t="shared" si="0"/>
        <v>2349000</v>
      </c>
      <c r="H16" s="693"/>
    </row>
    <row r="17" spans="1:8" ht="42">
      <c r="A17" s="696">
        <v>11</v>
      </c>
      <c r="B17" s="690" t="s">
        <v>328</v>
      </c>
      <c r="C17" s="389">
        <v>60.8</v>
      </c>
      <c r="D17" s="390" t="s">
        <v>329</v>
      </c>
      <c r="E17" s="390">
        <v>890000</v>
      </c>
      <c r="F17" s="494">
        <v>0.8</v>
      </c>
      <c r="G17" s="692">
        <f t="shared" si="0"/>
        <v>43289600</v>
      </c>
      <c r="H17" s="695"/>
    </row>
    <row r="18" spans="1:8" ht="45.75" customHeight="1">
      <c r="A18" s="694">
        <v>12</v>
      </c>
      <c r="B18" s="690" t="s">
        <v>325</v>
      </c>
      <c r="C18" s="389">
        <f>5.15*8.1</f>
        <v>41.715</v>
      </c>
      <c r="D18" s="683" t="s">
        <v>371</v>
      </c>
      <c r="E18" s="390">
        <v>1070000</v>
      </c>
      <c r="F18" s="494">
        <v>0.8</v>
      </c>
      <c r="G18" s="692">
        <f t="shared" si="0"/>
        <v>35708040</v>
      </c>
      <c r="H18" s="695"/>
    </row>
    <row r="19" spans="1:8" ht="45.75" customHeight="1">
      <c r="A19" s="694">
        <v>13</v>
      </c>
      <c r="B19" s="690" t="s">
        <v>372</v>
      </c>
      <c r="C19" s="389">
        <v>50</v>
      </c>
      <c r="D19" s="683" t="s">
        <v>371</v>
      </c>
      <c r="E19" s="390">
        <v>120000</v>
      </c>
      <c r="F19" s="494">
        <v>0.8</v>
      </c>
      <c r="G19" s="692">
        <f t="shared" si="0"/>
        <v>4800000</v>
      </c>
      <c r="H19" s="693"/>
    </row>
    <row r="20" spans="1:8" ht="24">
      <c r="A20" s="696">
        <v>14</v>
      </c>
      <c r="B20" s="690" t="s">
        <v>326</v>
      </c>
      <c r="C20" s="389">
        <f>11*1.7</f>
        <v>18.7</v>
      </c>
      <c r="D20" s="390" t="s">
        <v>371</v>
      </c>
      <c r="E20" s="390">
        <v>90000</v>
      </c>
      <c r="F20" s="494">
        <v>0.8</v>
      </c>
      <c r="G20" s="692">
        <f t="shared" si="0"/>
        <v>1346400</v>
      </c>
      <c r="H20" s="695"/>
    </row>
    <row r="21" spans="1:8" ht="45.75" customHeight="1">
      <c r="A21" s="694">
        <v>15</v>
      </c>
      <c r="B21" s="690" t="s">
        <v>324</v>
      </c>
      <c r="C21" s="389">
        <f>5.175+12</f>
        <v>17.175</v>
      </c>
      <c r="D21" s="683" t="s">
        <v>371</v>
      </c>
      <c r="E21" s="390">
        <v>430000</v>
      </c>
      <c r="F21" s="494">
        <v>0.8</v>
      </c>
      <c r="G21" s="692">
        <f t="shared" si="0"/>
        <v>5908200</v>
      </c>
      <c r="H21" s="695"/>
    </row>
    <row r="22" spans="1:8" ht="45.75" customHeight="1">
      <c r="A22" s="694">
        <v>16</v>
      </c>
      <c r="B22" s="690" t="s">
        <v>332</v>
      </c>
      <c r="C22" s="389">
        <v>36</v>
      </c>
      <c r="D22" s="683" t="s">
        <v>371</v>
      </c>
      <c r="E22" s="390">
        <v>580000</v>
      </c>
      <c r="F22" s="494">
        <v>0.8</v>
      </c>
      <c r="G22" s="692">
        <f t="shared" si="0"/>
        <v>16704000</v>
      </c>
      <c r="H22" s="693"/>
    </row>
    <row r="23" ht="21">
      <c r="A23" s="696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AN101"/>
  <sheetViews>
    <sheetView zoomScale="50" zoomScaleNormal="50" zoomScaleSheetLayoutView="70" zoomScalePageLayoutView="0" workbookViewId="0" topLeftCell="A1">
      <pane ySplit="6" topLeftCell="A67" activePane="bottomLeft" state="frozen"/>
      <selection pane="topLeft" activeCell="A1" sqref="A1"/>
      <selection pane="bottomLeft" activeCell="A71" sqref="A71:IV71"/>
    </sheetView>
  </sheetViews>
  <sheetFormatPr defaultColWidth="9.140625" defaultRowHeight="12.75"/>
  <cols>
    <col min="1" max="1" width="12.7109375" style="308" bestFit="1" customWidth="1"/>
    <col min="2" max="2" width="52.7109375" style="384" customWidth="1"/>
    <col min="3" max="4" width="9.7109375" style="43" customWidth="1"/>
    <col min="5" max="5" width="12.7109375" style="43" customWidth="1"/>
    <col min="6" max="6" width="10.28125" style="43" customWidth="1"/>
    <col min="7" max="7" width="25.28125" style="43" customWidth="1"/>
    <col min="8" max="8" width="11.28125" style="43" customWidth="1"/>
    <col min="9" max="9" width="15.28125" style="43" customWidth="1"/>
    <col min="10" max="10" width="15.140625" style="43" hidden="1" customWidth="1"/>
    <col min="11" max="11" width="17.7109375" style="43" customWidth="1"/>
    <col min="12" max="12" width="15.140625" style="310" customWidth="1"/>
    <col min="13" max="13" width="12.00390625" style="43" customWidth="1"/>
    <col min="14" max="14" width="11.7109375" style="43" customWidth="1"/>
    <col min="15" max="15" width="19.421875" style="43" customWidth="1"/>
    <col min="16" max="16" width="15.28125" style="43" customWidth="1"/>
    <col min="17" max="17" width="11.57421875" style="43" customWidth="1"/>
    <col min="18" max="18" width="8.28125" style="43" customWidth="1"/>
    <col min="19" max="19" width="14.57421875" style="43" customWidth="1"/>
    <col min="20" max="21" width="17.28125" style="43" customWidth="1"/>
    <col min="22" max="22" width="17.00390625" style="43" customWidth="1"/>
    <col min="23" max="23" width="19.140625" style="43" customWidth="1"/>
    <col min="24" max="24" width="9.7109375" style="310" customWidth="1"/>
    <col min="25" max="25" width="18.8515625" style="35" customWidth="1"/>
    <col min="26" max="26" width="19.57421875" style="43" customWidth="1"/>
    <col min="27" max="27" width="21.7109375" style="43" customWidth="1"/>
    <col min="28" max="28" width="15.140625" style="43" customWidth="1"/>
    <col min="29" max="30" width="0" style="35" hidden="1" customWidth="1"/>
    <col min="31" max="31" width="20.00390625" style="35" hidden="1" customWidth="1"/>
    <col min="32" max="32" width="0" style="35" hidden="1" customWidth="1"/>
    <col min="33" max="33" width="24.57421875" style="35" hidden="1" customWidth="1"/>
    <col min="34" max="36" width="9.140625" style="35" customWidth="1"/>
    <col min="37" max="37" width="20.421875" style="35" customWidth="1"/>
    <col min="38" max="40" width="9.140625" style="35" customWidth="1"/>
    <col min="41" max="16384" width="9.140625" style="43" customWidth="1"/>
  </cols>
  <sheetData>
    <row r="1" spans="1:32" ht="23.25" customHeight="1">
      <c r="A1" s="844" t="s">
        <v>253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302"/>
      <c r="AD1" s="303"/>
      <c r="AE1" s="303"/>
      <c r="AF1" s="303"/>
    </row>
    <row r="2" spans="1:32" ht="22.5" customHeight="1">
      <c r="A2" s="844" t="s">
        <v>48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  <c r="AB2" s="844"/>
      <c r="AC2" s="302"/>
      <c r="AD2" s="303"/>
      <c r="AE2" s="303"/>
      <c r="AF2" s="303"/>
    </row>
    <row r="3" spans="1:32" ht="13.5" customHeight="1">
      <c r="A3" s="48"/>
      <c r="B3" s="374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302"/>
      <c r="AD3" s="303"/>
      <c r="AE3" s="303"/>
      <c r="AF3" s="303"/>
    </row>
    <row r="4" spans="1:32" ht="30.75" customHeight="1">
      <c r="A4" s="899" t="s">
        <v>239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899"/>
      <c r="AC4" s="302"/>
      <c r="AD4" s="303"/>
      <c r="AE4" s="303"/>
      <c r="AF4" s="303"/>
    </row>
    <row r="5" spans="1:32" ht="59.25" customHeight="1">
      <c r="A5" s="846" t="s">
        <v>136</v>
      </c>
      <c r="B5" s="900" t="s">
        <v>8</v>
      </c>
      <c r="C5" s="896" t="s">
        <v>27</v>
      </c>
      <c r="D5" s="896"/>
      <c r="E5" s="896"/>
      <c r="F5" s="896"/>
      <c r="G5" s="846" t="s">
        <v>9</v>
      </c>
      <c r="H5" s="896" t="s">
        <v>148</v>
      </c>
      <c r="I5" s="896"/>
      <c r="J5" s="850" t="s">
        <v>149</v>
      </c>
      <c r="K5" s="852"/>
      <c r="L5" s="846" t="s">
        <v>14</v>
      </c>
      <c r="M5" s="862" t="s">
        <v>15</v>
      </c>
      <c r="N5" s="891" t="s">
        <v>22</v>
      </c>
      <c r="O5" s="892"/>
      <c r="P5" s="891" t="s">
        <v>10</v>
      </c>
      <c r="Q5" s="893"/>
      <c r="R5" s="893"/>
      <c r="S5" s="893"/>
      <c r="T5" s="893"/>
      <c r="U5" s="892"/>
      <c r="V5" s="894" t="s">
        <v>24</v>
      </c>
      <c r="W5" s="894"/>
      <c r="X5" s="894"/>
      <c r="Y5" s="894"/>
      <c r="Z5" s="897" t="s">
        <v>16</v>
      </c>
      <c r="AA5" s="902" t="s">
        <v>17</v>
      </c>
      <c r="AB5" s="896" t="s">
        <v>7</v>
      </c>
      <c r="AC5" s="302"/>
      <c r="AD5" s="303"/>
      <c r="AE5" s="303"/>
      <c r="AF5" s="303"/>
    </row>
    <row r="6" spans="1:40" s="345" customFormat="1" ht="208.5" customHeight="1">
      <c r="A6" s="847"/>
      <c r="B6" s="901"/>
      <c r="C6" s="338" t="s">
        <v>247</v>
      </c>
      <c r="D6" s="338" t="s">
        <v>248</v>
      </c>
      <c r="E6" s="339" t="s">
        <v>4</v>
      </c>
      <c r="F6" s="55" t="s">
        <v>18</v>
      </c>
      <c r="G6" s="847"/>
      <c r="H6" s="340" t="s">
        <v>202</v>
      </c>
      <c r="I6" s="340" t="s">
        <v>146</v>
      </c>
      <c r="J6" s="340" t="s">
        <v>202</v>
      </c>
      <c r="K6" s="340" t="s">
        <v>146</v>
      </c>
      <c r="L6" s="847"/>
      <c r="M6" s="863"/>
      <c r="N6" s="340" t="s">
        <v>12</v>
      </c>
      <c r="O6" s="341" t="s">
        <v>21</v>
      </c>
      <c r="P6" s="342" t="s">
        <v>11</v>
      </c>
      <c r="Q6" s="343" t="s">
        <v>20</v>
      </c>
      <c r="R6" s="342" t="s">
        <v>19</v>
      </c>
      <c r="S6" s="342" t="s">
        <v>12</v>
      </c>
      <c r="T6" s="344" t="s">
        <v>13</v>
      </c>
      <c r="U6" s="344" t="s">
        <v>286</v>
      </c>
      <c r="V6" s="344" t="s">
        <v>28</v>
      </c>
      <c r="W6" s="344" t="s">
        <v>29</v>
      </c>
      <c r="X6" s="344" t="s">
        <v>25</v>
      </c>
      <c r="Y6" s="342" t="s">
        <v>23</v>
      </c>
      <c r="Z6" s="898"/>
      <c r="AA6" s="903"/>
      <c r="AB6" s="896"/>
      <c r="AC6" s="334"/>
      <c r="AD6" s="335"/>
      <c r="AE6" s="335"/>
      <c r="AF6" s="335"/>
      <c r="AG6" s="336"/>
      <c r="AH6" s="336"/>
      <c r="AI6" s="336"/>
      <c r="AJ6" s="336"/>
      <c r="AK6" s="336"/>
      <c r="AL6" s="336"/>
      <c r="AM6" s="336"/>
      <c r="AN6" s="336"/>
    </row>
    <row r="7" spans="1:32" ht="21.75" customHeight="1">
      <c r="A7" s="60">
        <v>1</v>
      </c>
      <c r="B7" s="375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/>
      <c r="I7" s="60"/>
      <c r="J7" s="60"/>
      <c r="K7" s="60"/>
      <c r="L7" s="60">
        <v>11</v>
      </c>
      <c r="M7" s="60">
        <v>12</v>
      </c>
      <c r="N7" s="60">
        <v>14</v>
      </c>
      <c r="O7" s="60">
        <v>15</v>
      </c>
      <c r="P7" s="60">
        <v>17</v>
      </c>
      <c r="Q7" s="60">
        <v>18</v>
      </c>
      <c r="R7" s="60">
        <v>19</v>
      </c>
      <c r="S7" s="60">
        <v>20</v>
      </c>
      <c r="T7" s="60">
        <v>21</v>
      </c>
      <c r="U7" s="60"/>
      <c r="V7" s="60">
        <v>22</v>
      </c>
      <c r="W7" s="60">
        <v>23</v>
      </c>
      <c r="X7" s="60">
        <v>25</v>
      </c>
      <c r="Y7" s="60">
        <v>26</v>
      </c>
      <c r="Z7" s="63">
        <v>27</v>
      </c>
      <c r="AA7" s="60">
        <v>28</v>
      </c>
      <c r="AB7" s="60">
        <v>29</v>
      </c>
      <c r="AC7" s="302"/>
      <c r="AD7" s="303"/>
      <c r="AE7" s="303"/>
      <c r="AF7" s="303"/>
    </row>
    <row r="8" spans="1:37" ht="81" customHeight="1">
      <c r="A8" s="860" t="s">
        <v>291</v>
      </c>
      <c r="B8" s="861"/>
      <c r="C8" s="60"/>
      <c r="D8" s="60"/>
      <c r="E8" s="60"/>
      <c r="F8" s="60"/>
      <c r="G8" s="60"/>
      <c r="H8" s="33">
        <f aca="true" t="shared" si="0" ref="H8:M8">H9+H83</f>
        <v>10495.699999999999</v>
      </c>
      <c r="I8" s="33">
        <f t="shared" si="0"/>
        <v>12089.999999999998</v>
      </c>
      <c r="J8" s="33">
        <f t="shared" si="0"/>
        <v>0</v>
      </c>
      <c r="K8" s="33">
        <f t="shared" si="0"/>
        <v>7.8</v>
      </c>
      <c r="L8" s="33">
        <f t="shared" si="0"/>
        <v>22593.500000000007</v>
      </c>
      <c r="M8" s="33">
        <f t="shared" si="0"/>
        <v>22593.499999999996</v>
      </c>
      <c r="N8" s="33"/>
      <c r="O8" s="105">
        <f>O9+O83</f>
        <v>1355610000</v>
      </c>
      <c r="P8" s="33"/>
      <c r="Q8" s="33">
        <f>Q9+Q83</f>
        <v>22246.200000000008</v>
      </c>
      <c r="R8" s="33"/>
      <c r="S8" s="105">
        <f>S9+S83</f>
        <v>1210700</v>
      </c>
      <c r="T8" s="105">
        <f>T9+T83</f>
        <v>265007480</v>
      </c>
      <c r="U8" s="105"/>
      <c r="V8" s="105">
        <f aca="true" t="shared" si="1" ref="V8:AA8">V9+V83</f>
        <v>225935000</v>
      </c>
      <c r="W8" s="105">
        <f t="shared" si="1"/>
        <v>4066830000</v>
      </c>
      <c r="X8" s="105">
        <f t="shared" si="1"/>
        <v>109</v>
      </c>
      <c r="Y8" s="105">
        <f t="shared" si="1"/>
        <v>381500000</v>
      </c>
      <c r="Z8" s="105">
        <f t="shared" si="1"/>
        <v>6294882480</v>
      </c>
      <c r="AA8" s="105">
        <f t="shared" si="1"/>
        <v>6294882480</v>
      </c>
      <c r="AB8" s="60"/>
      <c r="AC8" s="302"/>
      <c r="AD8" s="303"/>
      <c r="AE8" s="303"/>
      <c r="AF8" s="303"/>
      <c r="AG8" s="315">
        <f>Q8-Q11</f>
        <v>22179.800000000007</v>
      </c>
      <c r="AK8" s="105">
        <v>4130184240</v>
      </c>
    </row>
    <row r="9" spans="1:40" s="128" customFormat="1" ht="74.25" customHeight="1">
      <c r="A9" s="66" t="s">
        <v>290</v>
      </c>
      <c r="B9" s="376" t="s">
        <v>41</v>
      </c>
      <c r="C9" s="66"/>
      <c r="D9" s="66"/>
      <c r="E9" s="67"/>
      <c r="F9" s="66"/>
      <c r="G9" s="69"/>
      <c r="H9" s="69">
        <f aca="true" t="shared" si="2" ref="H9:M9">SUM(H10:H81)</f>
        <v>9530.099999999999</v>
      </c>
      <c r="I9" s="69">
        <f t="shared" si="2"/>
        <v>10151.099999999999</v>
      </c>
      <c r="J9" s="69">
        <f t="shared" si="2"/>
        <v>0</v>
      </c>
      <c r="K9" s="69">
        <f t="shared" si="2"/>
        <v>7.8</v>
      </c>
      <c r="L9" s="69">
        <f t="shared" si="2"/>
        <v>19689.000000000007</v>
      </c>
      <c r="M9" s="69">
        <f t="shared" si="2"/>
        <v>19688.999999999996</v>
      </c>
      <c r="N9" s="69"/>
      <c r="O9" s="116">
        <f>SUM(O10:O81)</f>
        <v>1181340000</v>
      </c>
      <c r="P9" s="69"/>
      <c r="Q9" s="69">
        <f>SUM(Q10:Q81)</f>
        <v>19344.200000000008</v>
      </c>
      <c r="R9" s="69"/>
      <c r="S9" s="116">
        <f>SUM(S10:S81)</f>
        <v>1049200</v>
      </c>
      <c r="T9" s="116">
        <f>SUM(T10:T81)</f>
        <v>237438480</v>
      </c>
      <c r="U9" s="116"/>
      <c r="V9" s="116">
        <f aca="true" t="shared" si="3" ref="V9:AA9">SUM(V10:V81)</f>
        <v>196890000</v>
      </c>
      <c r="W9" s="116">
        <f t="shared" si="3"/>
        <v>3544020000</v>
      </c>
      <c r="X9" s="69">
        <f t="shared" si="3"/>
        <v>96</v>
      </c>
      <c r="Y9" s="116">
        <f t="shared" si="3"/>
        <v>336000000</v>
      </c>
      <c r="Z9" s="116">
        <f t="shared" si="3"/>
        <v>5495688480</v>
      </c>
      <c r="AA9" s="116">
        <f t="shared" si="3"/>
        <v>5495688480</v>
      </c>
      <c r="AB9" s="30"/>
      <c r="AC9" s="302"/>
      <c r="AD9" s="303"/>
      <c r="AE9" s="303"/>
      <c r="AF9" s="303"/>
      <c r="AG9" s="35"/>
      <c r="AH9" s="35"/>
      <c r="AI9" s="35"/>
      <c r="AJ9" s="35"/>
      <c r="AK9" s="35"/>
      <c r="AL9" s="35"/>
      <c r="AM9" s="35"/>
      <c r="AN9" s="35"/>
    </row>
    <row r="10" spans="1:32" s="365" customFormat="1" ht="68.25" customHeight="1">
      <c r="A10" s="346">
        <v>1</v>
      </c>
      <c r="B10" s="377" t="s">
        <v>206</v>
      </c>
      <c r="C10" s="347">
        <v>97</v>
      </c>
      <c r="D10" s="347">
        <v>72</v>
      </c>
      <c r="E10" s="348">
        <v>32.9</v>
      </c>
      <c r="F10" s="348" t="s">
        <v>45</v>
      </c>
      <c r="G10" s="355" t="s">
        <v>44</v>
      </c>
      <c r="H10" s="346"/>
      <c r="I10" s="348">
        <v>32.9</v>
      </c>
      <c r="J10" s="356"/>
      <c r="K10" s="357"/>
      <c r="L10" s="358">
        <f aca="true" t="shared" si="4" ref="L10:L41">H10+I10+J10+K10</f>
        <v>32.9</v>
      </c>
      <c r="M10" s="889">
        <f>L10+L11+L12</f>
        <v>131.3</v>
      </c>
      <c r="N10" s="360">
        <v>60000</v>
      </c>
      <c r="O10" s="360">
        <f>L10*N10</f>
        <v>1974000</v>
      </c>
      <c r="P10" s="358" t="s">
        <v>30</v>
      </c>
      <c r="Q10" s="358">
        <f>L10</f>
        <v>32.9</v>
      </c>
      <c r="R10" s="358" t="s">
        <v>240</v>
      </c>
      <c r="S10" s="360">
        <v>9500</v>
      </c>
      <c r="T10" s="360">
        <f>Q10*S10*U10</f>
        <v>312550</v>
      </c>
      <c r="U10" s="494">
        <v>1</v>
      </c>
      <c r="V10" s="360">
        <f>L10*10000</f>
        <v>329000</v>
      </c>
      <c r="W10" s="360">
        <f>L10*N10*3</f>
        <v>5922000</v>
      </c>
      <c r="X10" s="360">
        <f aca="true" t="shared" si="5" ref="X10:X76">INT(M10/176.4)</f>
        <v>0</v>
      </c>
      <c r="Y10" s="361">
        <f>X10*3500000</f>
        <v>0</v>
      </c>
      <c r="Z10" s="362">
        <f>O10+T10+V10+W10+Y10</f>
        <v>8537550</v>
      </c>
      <c r="AA10" s="363">
        <f>Z10</f>
        <v>8537550</v>
      </c>
      <c r="AB10" s="350"/>
      <c r="AC10" s="364"/>
      <c r="AD10" s="364"/>
      <c r="AE10" s="364">
        <f>74</f>
        <v>74</v>
      </c>
      <c r="AF10" s="364"/>
    </row>
    <row r="11" spans="1:33" s="365" customFormat="1" ht="68.25" customHeight="1">
      <c r="A11" s="346">
        <v>1</v>
      </c>
      <c r="B11" s="377" t="s">
        <v>206</v>
      </c>
      <c r="C11" s="347">
        <v>95</v>
      </c>
      <c r="D11" s="347">
        <v>72</v>
      </c>
      <c r="E11" s="348">
        <v>66.4</v>
      </c>
      <c r="F11" s="348" t="s">
        <v>45</v>
      </c>
      <c r="G11" s="355" t="s">
        <v>44</v>
      </c>
      <c r="H11" s="346"/>
      <c r="I11" s="348">
        <v>66.4</v>
      </c>
      <c r="J11" s="356"/>
      <c r="K11" s="357"/>
      <c r="L11" s="358">
        <f t="shared" si="4"/>
        <v>66.4</v>
      </c>
      <c r="M11" s="895"/>
      <c r="N11" s="360">
        <v>60000</v>
      </c>
      <c r="O11" s="360">
        <f>L11*N11</f>
        <v>3984000.0000000005</v>
      </c>
      <c r="P11" s="358" t="s">
        <v>30</v>
      </c>
      <c r="Q11" s="358">
        <f>L11</f>
        <v>66.4</v>
      </c>
      <c r="R11" s="358" t="s">
        <v>240</v>
      </c>
      <c r="S11" s="360">
        <v>9500</v>
      </c>
      <c r="T11" s="360">
        <f>Q11*S11*U11</f>
        <v>630800</v>
      </c>
      <c r="U11" s="494">
        <v>1</v>
      </c>
      <c r="V11" s="360">
        <f>L11*10000</f>
        <v>664000</v>
      </c>
      <c r="W11" s="360">
        <f>L11*N11*3</f>
        <v>11952000.000000002</v>
      </c>
      <c r="X11" s="360">
        <f t="shared" si="5"/>
        <v>0</v>
      </c>
      <c r="Y11" s="361">
        <f aca="true" t="shared" si="6" ref="Y11:Y85">X11*3500000</f>
        <v>0</v>
      </c>
      <c r="Z11" s="362">
        <f>O11+T11+V11+W11+Y11</f>
        <v>17230800</v>
      </c>
      <c r="AA11" s="363">
        <f>Z11</f>
        <v>17230800</v>
      </c>
      <c r="AB11" s="350"/>
      <c r="AC11" s="364"/>
      <c r="AD11" s="364"/>
      <c r="AE11" s="364" t="s">
        <v>85</v>
      </c>
      <c r="AF11" s="364"/>
      <c r="AG11" s="366">
        <f>Z11</f>
        <v>17230800</v>
      </c>
    </row>
    <row r="12" spans="1:32" s="365" customFormat="1" ht="68.25" customHeight="1">
      <c r="A12" s="346">
        <v>1</v>
      </c>
      <c r="B12" s="377" t="s">
        <v>206</v>
      </c>
      <c r="C12" s="347">
        <v>221</v>
      </c>
      <c r="D12" s="347">
        <v>72</v>
      </c>
      <c r="E12" s="348">
        <v>32</v>
      </c>
      <c r="F12" s="348" t="s">
        <v>45</v>
      </c>
      <c r="G12" s="355" t="s">
        <v>44</v>
      </c>
      <c r="H12" s="346"/>
      <c r="I12" s="348">
        <v>32</v>
      </c>
      <c r="J12" s="356"/>
      <c r="K12" s="357"/>
      <c r="L12" s="358">
        <f t="shared" si="4"/>
        <v>32</v>
      </c>
      <c r="M12" s="890"/>
      <c r="N12" s="360">
        <v>60000</v>
      </c>
      <c r="O12" s="360">
        <f aca="true" t="shared" si="7" ref="O12:O69">L12*N12</f>
        <v>1920000</v>
      </c>
      <c r="P12" s="358" t="s">
        <v>30</v>
      </c>
      <c r="Q12" s="358">
        <f aca="true" t="shared" si="8" ref="Q12:Q68">L12</f>
        <v>32</v>
      </c>
      <c r="R12" s="358" t="s">
        <v>241</v>
      </c>
      <c r="S12" s="360">
        <v>9500</v>
      </c>
      <c r="T12" s="360">
        <f aca="true" t="shared" si="9" ref="T12:T76">Q12*S12*U12</f>
        <v>304000</v>
      </c>
      <c r="U12" s="494">
        <v>1</v>
      </c>
      <c r="V12" s="360">
        <f aca="true" t="shared" si="10" ref="V12:V69">L12*10000</f>
        <v>320000</v>
      </c>
      <c r="W12" s="360">
        <f aca="true" t="shared" si="11" ref="W12:W69">L12*N12*3</f>
        <v>5760000</v>
      </c>
      <c r="X12" s="360">
        <f t="shared" si="5"/>
        <v>0</v>
      </c>
      <c r="Y12" s="361">
        <f t="shared" si="6"/>
        <v>0</v>
      </c>
      <c r="Z12" s="362">
        <f aca="true" t="shared" si="12" ref="Z12:Z86">O12+T12+V12+W12+Y12</f>
        <v>8304000</v>
      </c>
      <c r="AA12" s="363">
        <f aca="true" t="shared" si="13" ref="AA12:AA86">Z12</f>
        <v>8304000</v>
      </c>
      <c r="AB12" s="350"/>
      <c r="AC12" s="364"/>
      <c r="AD12" s="364"/>
      <c r="AE12" s="364"/>
      <c r="AF12" s="364"/>
    </row>
    <row r="13" spans="1:32" s="411" customFormat="1" ht="68.25" customHeight="1">
      <c r="A13" s="412">
        <v>2</v>
      </c>
      <c r="B13" s="413" t="s">
        <v>207</v>
      </c>
      <c r="C13" s="414">
        <v>173</v>
      </c>
      <c r="D13" s="414">
        <v>72</v>
      </c>
      <c r="E13" s="404">
        <v>29.6</v>
      </c>
      <c r="F13" s="404" t="s">
        <v>45</v>
      </c>
      <c r="G13" s="425" t="s">
        <v>44</v>
      </c>
      <c r="H13" s="412"/>
      <c r="I13" s="404">
        <v>29.6</v>
      </c>
      <c r="J13" s="356"/>
      <c r="K13" s="415"/>
      <c r="L13" s="406">
        <f t="shared" si="4"/>
        <v>29.6</v>
      </c>
      <c r="M13" s="420">
        <f>L13</f>
        <v>29.6</v>
      </c>
      <c r="N13" s="407">
        <v>60000</v>
      </c>
      <c r="O13" s="407">
        <f t="shared" si="7"/>
        <v>1776000</v>
      </c>
      <c r="P13" s="406" t="s">
        <v>30</v>
      </c>
      <c r="Q13" s="406">
        <f t="shared" si="8"/>
        <v>29.6</v>
      </c>
      <c r="R13" s="406" t="s">
        <v>241</v>
      </c>
      <c r="S13" s="407">
        <v>9500</v>
      </c>
      <c r="T13" s="360">
        <f t="shared" si="9"/>
        <v>281200</v>
      </c>
      <c r="U13" s="494">
        <v>1</v>
      </c>
      <c r="V13" s="407">
        <f t="shared" si="10"/>
        <v>296000</v>
      </c>
      <c r="W13" s="407">
        <f t="shared" si="11"/>
        <v>5328000</v>
      </c>
      <c r="X13" s="407">
        <f t="shared" si="5"/>
        <v>0</v>
      </c>
      <c r="Y13" s="408">
        <f t="shared" si="6"/>
        <v>0</v>
      </c>
      <c r="Z13" s="409">
        <f t="shared" si="12"/>
        <v>7681200</v>
      </c>
      <c r="AA13" s="410">
        <f t="shared" si="13"/>
        <v>7681200</v>
      </c>
      <c r="AB13" s="401"/>
      <c r="AC13" s="427"/>
      <c r="AD13" s="427"/>
      <c r="AE13" s="427"/>
      <c r="AF13" s="427"/>
    </row>
    <row r="14" spans="1:32" s="411" customFormat="1" ht="68.25" customHeight="1">
      <c r="A14" s="412">
        <v>2</v>
      </c>
      <c r="B14" s="413" t="s">
        <v>207</v>
      </c>
      <c r="C14" s="423">
        <v>123</v>
      </c>
      <c r="D14" s="423">
        <v>82</v>
      </c>
      <c r="E14" s="424">
        <v>1182.9</v>
      </c>
      <c r="F14" s="424" t="s">
        <v>0</v>
      </c>
      <c r="G14" s="428" t="s">
        <v>236</v>
      </c>
      <c r="H14" s="412">
        <v>1060.6</v>
      </c>
      <c r="I14" s="404">
        <f>E14-H14-30</f>
        <v>92.30000000000018</v>
      </c>
      <c r="J14" s="356"/>
      <c r="K14" s="415"/>
      <c r="L14" s="406">
        <f t="shared" si="4"/>
        <v>1152.9</v>
      </c>
      <c r="M14" s="420">
        <f>L14</f>
        <v>1152.9</v>
      </c>
      <c r="N14" s="407">
        <v>60000</v>
      </c>
      <c r="O14" s="407">
        <f>L14*N14</f>
        <v>69174000</v>
      </c>
      <c r="P14" s="406" t="s">
        <v>30</v>
      </c>
      <c r="Q14" s="406">
        <f>L14</f>
        <v>1152.9</v>
      </c>
      <c r="R14" s="406" t="s">
        <v>241</v>
      </c>
      <c r="S14" s="407">
        <v>9500</v>
      </c>
      <c r="T14" s="360">
        <f t="shared" si="9"/>
        <v>10952550</v>
      </c>
      <c r="U14" s="494">
        <v>1</v>
      </c>
      <c r="V14" s="407">
        <f>L14*10000</f>
        <v>11529000</v>
      </c>
      <c r="W14" s="407">
        <f>L14*N14*3</f>
        <v>207522000</v>
      </c>
      <c r="X14" s="407">
        <f t="shared" si="5"/>
        <v>6</v>
      </c>
      <c r="Y14" s="408">
        <f>X14*3500000</f>
        <v>21000000</v>
      </c>
      <c r="Z14" s="409">
        <f>O14+T14+V14+W14+Y14</f>
        <v>320177550</v>
      </c>
      <c r="AA14" s="410">
        <f>Z14</f>
        <v>320177550</v>
      </c>
      <c r="AB14" s="401"/>
      <c r="AC14" s="427"/>
      <c r="AD14" s="427"/>
      <c r="AE14" s="427"/>
      <c r="AF14" s="427"/>
    </row>
    <row r="15" spans="1:40" s="368" customFormat="1" ht="68.25" customHeight="1">
      <c r="A15" s="346">
        <v>3</v>
      </c>
      <c r="B15" s="377" t="s">
        <v>249</v>
      </c>
      <c r="C15" s="347">
        <v>92</v>
      </c>
      <c r="D15" s="347">
        <v>72</v>
      </c>
      <c r="E15" s="348" t="s">
        <v>238</v>
      </c>
      <c r="F15" s="348" t="s">
        <v>45</v>
      </c>
      <c r="G15" s="355" t="s">
        <v>44</v>
      </c>
      <c r="H15" s="346"/>
      <c r="I15" s="348">
        <v>54.8</v>
      </c>
      <c r="J15" s="356"/>
      <c r="K15" s="357"/>
      <c r="L15" s="358">
        <f t="shared" si="4"/>
        <v>54.8</v>
      </c>
      <c r="M15" s="359">
        <f>L15</f>
        <v>54.8</v>
      </c>
      <c r="N15" s="360">
        <v>60000</v>
      </c>
      <c r="O15" s="360">
        <f t="shared" si="7"/>
        <v>3288000</v>
      </c>
      <c r="P15" s="358" t="s">
        <v>30</v>
      </c>
      <c r="Q15" s="358">
        <f t="shared" si="8"/>
        <v>54.8</v>
      </c>
      <c r="R15" s="358" t="s">
        <v>241</v>
      </c>
      <c r="S15" s="360">
        <v>9500</v>
      </c>
      <c r="T15" s="360">
        <f t="shared" si="9"/>
        <v>520600</v>
      </c>
      <c r="U15" s="494">
        <v>1</v>
      </c>
      <c r="V15" s="360">
        <f t="shared" si="10"/>
        <v>548000</v>
      </c>
      <c r="W15" s="360">
        <f t="shared" si="11"/>
        <v>9864000</v>
      </c>
      <c r="X15" s="360">
        <f t="shared" si="5"/>
        <v>0</v>
      </c>
      <c r="Y15" s="361">
        <f t="shared" si="6"/>
        <v>0</v>
      </c>
      <c r="Z15" s="362">
        <f t="shared" si="12"/>
        <v>14220600</v>
      </c>
      <c r="AA15" s="363">
        <f t="shared" si="13"/>
        <v>14220600</v>
      </c>
      <c r="AB15" s="350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</row>
    <row r="16" spans="1:40" s="405" customFormat="1" ht="68.25" customHeight="1">
      <c r="A16" s="412">
        <v>4</v>
      </c>
      <c r="B16" s="413" t="s">
        <v>257</v>
      </c>
      <c r="C16" s="414">
        <v>216</v>
      </c>
      <c r="D16" s="414">
        <v>72</v>
      </c>
      <c r="E16" s="404">
        <v>320</v>
      </c>
      <c r="F16" s="414" t="s">
        <v>45</v>
      </c>
      <c r="G16" s="461" t="s">
        <v>44</v>
      </c>
      <c r="H16" s="404">
        <v>320</v>
      </c>
      <c r="I16" s="404"/>
      <c r="J16" s="356"/>
      <c r="K16" s="415"/>
      <c r="L16" s="406">
        <f t="shared" si="4"/>
        <v>320</v>
      </c>
      <c r="M16" s="1021">
        <f>SUM(L16:L23)</f>
        <v>1780.7999999999997</v>
      </c>
      <c r="N16" s="407">
        <v>60000</v>
      </c>
      <c r="O16" s="407">
        <f t="shared" si="7"/>
        <v>19200000</v>
      </c>
      <c r="P16" s="406" t="s">
        <v>75</v>
      </c>
      <c r="Q16" s="406">
        <f t="shared" si="8"/>
        <v>320</v>
      </c>
      <c r="R16" s="406" t="s">
        <v>241</v>
      </c>
      <c r="S16" s="407">
        <v>35200</v>
      </c>
      <c r="T16" s="360">
        <f t="shared" si="9"/>
        <v>11264000</v>
      </c>
      <c r="U16" s="494">
        <v>1</v>
      </c>
      <c r="V16" s="407">
        <f t="shared" si="10"/>
        <v>3200000</v>
      </c>
      <c r="W16" s="407">
        <f t="shared" si="11"/>
        <v>57600000</v>
      </c>
      <c r="X16" s="407">
        <f t="shared" si="5"/>
        <v>10</v>
      </c>
      <c r="Y16" s="408">
        <f t="shared" si="6"/>
        <v>35000000</v>
      </c>
      <c r="Z16" s="409">
        <f t="shared" si="12"/>
        <v>126264000</v>
      </c>
      <c r="AA16" s="410">
        <f t="shared" si="13"/>
        <v>126264000</v>
      </c>
      <c r="AB16" s="40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</row>
    <row r="17" spans="1:40" s="368" customFormat="1" ht="68.25" customHeight="1">
      <c r="A17" s="346">
        <v>4</v>
      </c>
      <c r="B17" s="377" t="s">
        <v>210</v>
      </c>
      <c r="C17" s="347">
        <v>42</v>
      </c>
      <c r="D17" s="347">
        <v>82</v>
      </c>
      <c r="E17" s="348">
        <v>597.7</v>
      </c>
      <c r="F17" s="347" t="s">
        <v>0</v>
      </c>
      <c r="G17" s="349" t="s">
        <v>235</v>
      </c>
      <c r="H17" s="348">
        <v>597.7</v>
      </c>
      <c r="I17" s="348"/>
      <c r="J17" s="356"/>
      <c r="K17" s="357"/>
      <c r="L17" s="358">
        <f t="shared" si="4"/>
        <v>597.7</v>
      </c>
      <c r="M17" s="1022"/>
      <c r="N17" s="360">
        <v>60000</v>
      </c>
      <c r="O17" s="360">
        <f t="shared" si="7"/>
        <v>35862000</v>
      </c>
      <c r="P17" s="358" t="s">
        <v>30</v>
      </c>
      <c r="Q17" s="358">
        <f t="shared" si="8"/>
        <v>597.7</v>
      </c>
      <c r="R17" s="358" t="s">
        <v>241</v>
      </c>
      <c r="S17" s="360">
        <v>9500</v>
      </c>
      <c r="T17" s="360">
        <f t="shared" si="9"/>
        <v>5678150</v>
      </c>
      <c r="U17" s="494">
        <v>1</v>
      </c>
      <c r="V17" s="360">
        <f t="shared" si="10"/>
        <v>5977000</v>
      </c>
      <c r="W17" s="360">
        <f t="shared" si="11"/>
        <v>107586000</v>
      </c>
      <c r="X17" s="360">
        <f t="shared" si="5"/>
        <v>0</v>
      </c>
      <c r="Y17" s="361">
        <f t="shared" si="6"/>
        <v>0</v>
      </c>
      <c r="Z17" s="362">
        <f t="shared" si="12"/>
        <v>155103150</v>
      </c>
      <c r="AA17" s="363">
        <f t="shared" si="13"/>
        <v>155103150</v>
      </c>
      <c r="AB17" s="350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</row>
    <row r="18" spans="1:40" s="368" customFormat="1" ht="68.25" customHeight="1">
      <c r="A18" s="346">
        <v>4</v>
      </c>
      <c r="B18" s="377" t="s">
        <v>211</v>
      </c>
      <c r="C18" s="347">
        <v>310</v>
      </c>
      <c r="D18" s="347">
        <v>82</v>
      </c>
      <c r="E18" s="348">
        <v>434.9</v>
      </c>
      <c r="F18" s="347" t="s">
        <v>0</v>
      </c>
      <c r="G18" s="349" t="s">
        <v>236</v>
      </c>
      <c r="H18" s="348">
        <v>432.4</v>
      </c>
      <c r="I18" s="348">
        <v>2.5</v>
      </c>
      <c r="J18" s="356"/>
      <c r="K18" s="357"/>
      <c r="L18" s="358">
        <f t="shared" si="4"/>
        <v>434.9</v>
      </c>
      <c r="M18" s="1022"/>
      <c r="N18" s="360">
        <v>60000</v>
      </c>
      <c r="O18" s="360">
        <f t="shared" si="7"/>
        <v>26094000</v>
      </c>
      <c r="P18" s="358" t="s">
        <v>30</v>
      </c>
      <c r="Q18" s="358">
        <f t="shared" si="8"/>
        <v>434.9</v>
      </c>
      <c r="R18" s="358" t="s">
        <v>241</v>
      </c>
      <c r="S18" s="360">
        <v>9500</v>
      </c>
      <c r="T18" s="360">
        <f t="shared" si="9"/>
        <v>4131550</v>
      </c>
      <c r="U18" s="494">
        <v>1</v>
      </c>
      <c r="V18" s="360">
        <f t="shared" si="10"/>
        <v>4349000</v>
      </c>
      <c r="W18" s="360">
        <f t="shared" si="11"/>
        <v>78282000</v>
      </c>
      <c r="X18" s="360">
        <f t="shared" si="5"/>
        <v>0</v>
      </c>
      <c r="Y18" s="361">
        <f t="shared" si="6"/>
        <v>0</v>
      </c>
      <c r="Z18" s="362">
        <f t="shared" si="12"/>
        <v>112856550</v>
      </c>
      <c r="AA18" s="363">
        <f t="shared" si="13"/>
        <v>112856550</v>
      </c>
      <c r="AB18" s="350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</row>
    <row r="19" spans="1:40" s="368" customFormat="1" ht="68.25" customHeight="1">
      <c r="A19" s="346">
        <v>4</v>
      </c>
      <c r="B19" s="377" t="s">
        <v>211</v>
      </c>
      <c r="C19" s="347">
        <v>56</v>
      </c>
      <c r="D19" s="347">
        <v>72</v>
      </c>
      <c r="E19" s="348">
        <v>73.6</v>
      </c>
      <c r="F19" s="347" t="s">
        <v>45</v>
      </c>
      <c r="G19" s="355" t="s">
        <v>44</v>
      </c>
      <c r="H19" s="346"/>
      <c r="I19" s="348">
        <v>73.6</v>
      </c>
      <c r="J19" s="356"/>
      <c r="K19" s="357"/>
      <c r="L19" s="358">
        <f t="shared" si="4"/>
        <v>73.6</v>
      </c>
      <c r="M19" s="1022"/>
      <c r="N19" s="360">
        <v>60000</v>
      </c>
      <c r="O19" s="360">
        <f t="shared" si="7"/>
        <v>4416000</v>
      </c>
      <c r="P19" s="358" t="s">
        <v>30</v>
      </c>
      <c r="Q19" s="358">
        <f t="shared" si="8"/>
        <v>73.6</v>
      </c>
      <c r="R19" s="358" t="s">
        <v>241</v>
      </c>
      <c r="S19" s="360">
        <v>9500</v>
      </c>
      <c r="T19" s="360">
        <f t="shared" si="9"/>
        <v>699200</v>
      </c>
      <c r="U19" s="494">
        <v>1</v>
      </c>
      <c r="V19" s="360">
        <f t="shared" si="10"/>
        <v>736000</v>
      </c>
      <c r="W19" s="360">
        <f t="shared" si="11"/>
        <v>13248000</v>
      </c>
      <c r="X19" s="360">
        <f t="shared" si="5"/>
        <v>0</v>
      </c>
      <c r="Y19" s="361">
        <f t="shared" si="6"/>
        <v>0</v>
      </c>
      <c r="Z19" s="362">
        <f t="shared" si="12"/>
        <v>19099200</v>
      </c>
      <c r="AA19" s="363">
        <f t="shared" si="13"/>
        <v>19099200</v>
      </c>
      <c r="AB19" s="350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</row>
    <row r="20" spans="1:40" s="405" customFormat="1" ht="68.25" customHeight="1">
      <c r="A20" s="412">
        <v>4</v>
      </c>
      <c r="B20" s="413" t="s">
        <v>210</v>
      </c>
      <c r="C20" s="401">
        <v>84</v>
      </c>
      <c r="D20" s="401">
        <v>82</v>
      </c>
      <c r="E20" s="401">
        <v>304.6</v>
      </c>
      <c r="F20" s="438" t="s">
        <v>0</v>
      </c>
      <c r="G20" s="415" t="s">
        <v>32</v>
      </c>
      <c r="H20" s="416"/>
      <c r="I20" s="416">
        <f>20</f>
        <v>20</v>
      </c>
      <c r="J20" s="356"/>
      <c r="K20" s="357"/>
      <c r="L20" s="417">
        <f t="shared" si="4"/>
        <v>20</v>
      </c>
      <c r="M20" s="1022"/>
      <c r="N20" s="407">
        <v>60000</v>
      </c>
      <c r="O20" s="407">
        <f>L20*N20</f>
        <v>1200000</v>
      </c>
      <c r="P20" s="406" t="s">
        <v>30</v>
      </c>
      <c r="Q20" s="406">
        <f>L20</f>
        <v>20</v>
      </c>
      <c r="R20" s="406" t="s">
        <v>241</v>
      </c>
      <c r="S20" s="407">
        <v>9500</v>
      </c>
      <c r="T20" s="360">
        <f t="shared" si="9"/>
        <v>190000</v>
      </c>
      <c r="U20" s="494">
        <v>1</v>
      </c>
      <c r="V20" s="407">
        <f>L20*10000</f>
        <v>200000</v>
      </c>
      <c r="W20" s="407">
        <f>L20*N20*3</f>
        <v>3600000</v>
      </c>
      <c r="X20" s="407">
        <f>INT(M20/176.4)</f>
        <v>0</v>
      </c>
      <c r="Y20" s="408">
        <f>X20*3500000</f>
        <v>0</v>
      </c>
      <c r="Z20" s="409">
        <f>O20+T20+V20+W20+Y20</f>
        <v>5190000</v>
      </c>
      <c r="AA20" s="410">
        <f>Z20</f>
        <v>5190000</v>
      </c>
      <c r="AB20" s="1018" t="s">
        <v>71</v>
      </c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</row>
    <row r="21" spans="1:32" s="411" customFormat="1" ht="68.25" customHeight="1">
      <c r="A21" s="412">
        <v>4</v>
      </c>
      <c r="B21" s="413" t="s">
        <v>210</v>
      </c>
      <c r="C21" s="423">
        <v>123</v>
      </c>
      <c r="D21" s="423">
        <v>82</v>
      </c>
      <c r="E21" s="424">
        <v>1182.9</v>
      </c>
      <c r="F21" s="424" t="s">
        <v>0</v>
      </c>
      <c r="G21" s="428" t="s">
        <v>236</v>
      </c>
      <c r="H21" s="412"/>
      <c r="I21" s="416">
        <v>30</v>
      </c>
      <c r="J21" s="356"/>
      <c r="K21" s="357"/>
      <c r="L21" s="406">
        <f t="shared" si="4"/>
        <v>30</v>
      </c>
      <c r="M21" s="1022"/>
      <c r="N21" s="407">
        <v>60000</v>
      </c>
      <c r="O21" s="407">
        <f>L21*N21</f>
        <v>1800000</v>
      </c>
      <c r="P21" s="406" t="s">
        <v>30</v>
      </c>
      <c r="Q21" s="406">
        <f>L21</f>
        <v>30</v>
      </c>
      <c r="R21" s="406" t="s">
        <v>241</v>
      </c>
      <c r="S21" s="407">
        <v>9500</v>
      </c>
      <c r="T21" s="360">
        <f t="shared" si="9"/>
        <v>285000</v>
      </c>
      <c r="U21" s="494">
        <v>1</v>
      </c>
      <c r="V21" s="407">
        <f>L21*10000</f>
        <v>300000</v>
      </c>
      <c r="W21" s="407">
        <f>L21*N21*3</f>
        <v>5400000</v>
      </c>
      <c r="X21" s="407">
        <f>INT(M21/176.4)</f>
        <v>0</v>
      </c>
      <c r="Y21" s="408">
        <f>X21*3500000</f>
        <v>0</v>
      </c>
      <c r="Z21" s="409">
        <f>O21+T21+V21+W21+Y21</f>
        <v>7785000</v>
      </c>
      <c r="AA21" s="410">
        <f>Z21</f>
        <v>7785000</v>
      </c>
      <c r="AB21" s="1019"/>
      <c r="AC21" s="427"/>
      <c r="AD21" s="427"/>
      <c r="AE21" s="427"/>
      <c r="AF21" s="427"/>
    </row>
    <row r="22" spans="1:40" s="405" customFormat="1" ht="68.25" customHeight="1">
      <c r="A22" s="412">
        <v>4</v>
      </c>
      <c r="B22" s="413" t="s">
        <v>210</v>
      </c>
      <c r="C22" s="437">
        <v>328</v>
      </c>
      <c r="D22" s="437">
        <v>72</v>
      </c>
      <c r="E22" s="437">
        <v>268.9</v>
      </c>
      <c r="F22" s="438" t="s">
        <v>0</v>
      </c>
      <c r="G22" s="415" t="s">
        <v>32</v>
      </c>
      <c r="H22" s="416"/>
      <c r="I22" s="416">
        <v>30</v>
      </c>
      <c r="J22" s="356"/>
      <c r="K22" s="357"/>
      <c r="L22" s="417">
        <f t="shared" si="4"/>
        <v>30</v>
      </c>
      <c r="M22" s="1022"/>
      <c r="N22" s="407">
        <v>60000</v>
      </c>
      <c r="O22" s="407">
        <f>L22*N22</f>
        <v>1800000</v>
      </c>
      <c r="P22" s="406" t="s">
        <v>30</v>
      </c>
      <c r="Q22" s="406">
        <f>L22</f>
        <v>30</v>
      </c>
      <c r="R22" s="406" t="s">
        <v>241</v>
      </c>
      <c r="S22" s="407">
        <v>9500</v>
      </c>
      <c r="T22" s="360">
        <f t="shared" si="9"/>
        <v>285000</v>
      </c>
      <c r="U22" s="494">
        <v>1</v>
      </c>
      <c r="V22" s="407">
        <f>L22*10000</f>
        <v>300000</v>
      </c>
      <c r="W22" s="407">
        <f>L22*N22*3</f>
        <v>5400000</v>
      </c>
      <c r="X22" s="407">
        <f>INT(M22/176.4)</f>
        <v>0</v>
      </c>
      <c r="Y22" s="408">
        <f>X22*3500000</f>
        <v>0</v>
      </c>
      <c r="Z22" s="409">
        <f>O22+T22+V22+W22+Y22</f>
        <v>7785000</v>
      </c>
      <c r="AA22" s="410">
        <f>Z22</f>
        <v>7785000</v>
      </c>
      <c r="AB22" s="1019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</row>
    <row r="23" spans="1:40" s="405" customFormat="1" ht="68.25" customHeight="1">
      <c r="A23" s="412">
        <v>4</v>
      </c>
      <c r="B23" s="413" t="s">
        <v>210</v>
      </c>
      <c r="C23" s="437">
        <v>118</v>
      </c>
      <c r="D23" s="437">
        <v>82</v>
      </c>
      <c r="E23" s="437">
        <v>274.6</v>
      </c>
      <c r="F23" s="438" t="s">
        <v>0</v>
      </c>
      <c r="G23" s="415" t="s">
        <v>32</v>
      </c>
      <c r="H23" s="416">
        <f>E23</f>
        <v>274.6</v>
      </c>
      <c r="I23" s="416"/>
      <c r="J23" s="356"/>
      <c r="K23" s="357"/>
      <c r="L23" s="406">
        <f t="shared" si="4"/>
        <v>274.6</v>
      </c>
      <c r="M23" s="1023"/>
      <c r="N23" s="407">
        <v>60000</v>
      </c>
      <c r="O23" s="407">
        <f>L23*N23</f>
        <v>16476000.000000002</v>
      </c>
      <c r="P23" s="406" t="s">
        <v>30</v>
      </c>
      <c r="Q23" s="406">
        <f>L23</f>
        <v>274.6</v>
      </c>
      <c r="R23" s="406" t="s">
        <v>241</v>
      </c>
      <c r="S23" s="407">
        <v>9500</v>
      </c>
      <c r="T23" s="360">
        <f t="shared" si="9"/>
        <v>2608700</v>
      </c>
      <c r="U23" s="494">
        <v>1</v>
      </c>
      <c r="V23" s="407">
        <f>L23*10000</f>
        <v>2746000</v>
      </c>
      <c r="W23" s="407">
        <f>L23*N23*3</f>
        <v>49428000.00000001</v>
      </c>
      <c r="X23" s="407">
        <f>INT(M23/176.4)</f>
        <v>0</v>
      </c>
      <c r="Y23" s="408">
        <f>X23*3500000</f>
        <v>0</v>
      </c>
      <c r="Z23" s="409">
        <f>O23+T23+V23+W23+Y23</f>
        <v>71258700</v>
      </c>
      <c r="AA23" s="410">
        <f>Z23</f>
        <v>71258700</v>
      </c>
      <c r="AB23" s="1020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</row>
    <row r="24" spans="1:40" s="368" customFormat="1" ht="68.25" customHeight="1">
      <c r="A24" s="346">
        <v>5</v>
      </c>
      <c r="B24" s="377" t="s">
        <v>250</v>
      </c>
      <c r="C24" s="347">
        <v>89</v>
      </c>
      <c r="D24" s="347">
        <v>71</v>
      </c>
      <c r="E24" s="348">
        <v>701.8</v>
      </c>
      <c r="F24" s="347" t="s">
        <v>0</v>
      </c>
      <c r="G24" s="385" t="s">
        <v>32</v>
      </c>
      <c r="H24" s="386"/>
      <c r="I24" s="387">
        <v>701.8</v>
      </c>
      <c r="J24" s="356"/>
      <c r="K24" s="357"/>
      <c r="L24" s="389">
        <f t="shared" si="4"/>
        <v>701.8</v>
      </c>
      <c r="M24" s="886">
        <f>SUM(L24:L29)</f>
        <v>1920.2999999999997</v>
      </c>
      <c r="N24" s="390">
        <v>60000</v>
      </c>
      <c r="O24" s="390">
        <f t="shared" si="7"/>
        <v>42108000</v>
      </c>
      <c r="P24" s="389" t="s">
        <v>30</v>
      </c>
      <c r="Q24" s="389">
        <f t="shared" si="8"/>
        <v>701.8</v>
      </c>
      <c r="R24" s="389" t="s">
        <v>243</v>
      </c>
      <c r="S24" s="390">
        <v>9500</v>
      </c>
      <c r="T24" s="360">
        <f t="shared" si="9"/>
        <v>6667100</v>
      </c>
      <c r="U24" s="494">
        <v>1</v>
      </c>
      <c r="V24" s="390">
        <f t="shared" si="10"/>
        <v>7018000</v>
      </c>
      <c r="W24" s="390">
        <f t="shared" si="11"/>
        <v>126324000</v>
      </c>
      <c r="X24" s="360">
        <f t="shared" si="5"/>
        <v>10</v>
      </c>
      <c r="Y24" s="361">
        <f t="shared" si="6"/>
        <v>35000000</v>
      </c>
      <c r="Z24" s="362">
        <f t="shared" si="12"/>
        <v>217117100</v>
      </c>
      <c r="AA24" s="363">
        <f t="shared" si="13"/>
        <v>217117100</v>
      </c>
      <c r="AB24" s="350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</row>
    <row r="25" spans="1:40" s="368" customFormat="1" ht="68.25" customHeight="1">
      <c r="A25" s="346">
        <v>5</v>
      </c>
      <c r="B25" s="377" t="s">
        <v>250</v>
      </c>
      <c r="C25" s="347">
        <v>36</v>
      </c>
      <c r="D25" s="347">
        <v>81</v>
      </c>
      <c r="E25" s="348">
        <v>624.3</v>
      </c>
      <c r="F25" s="347" t="s">
        <v>0</v>
      </c>
      <c r="G25" s="385" t="s">
        <v>37</v>
      </c>
      <c r="H25" s="386"/>
      <c r="I25" s="387">
        <v>624.3</v>
      </c>
      <c r="J25" s="356"/>
      <c r="K25" s="357"/>
      <c r="L25" s="389">
        <f t="shared" si="4"/>
        <v>624.3</v>
      </c>
      <c r="M25" s="887"/>
      <c r="N25" s="390">
        <v>60000</v>
      </c>
      <c r="O25" s="390">
        <f t="shared" si="7"/>
        <v>37458000</v>
      </c>
      <c r="P25" s="389" t="s">
        <v>30</v>
      </c>
      <c r="Q25" s="389">
        <f t="shared" si="8"/>
        <v>624.3</v>
      </c>
      <c r="R25" s="389" t="s">
        <v>243</v>
      </c>
      <c r="S25" s="390">
        <v>9500</v>
      </c>
      <c r="T25" s="360">
        <f t="shared" si="9"/>
        <v>5930850</v>
      </c>
      <c r="U25" s="494">
        <v>1</v>
      </c>
      <c r="V25" s="390">
        <f t="shared" si="10"/>
        <v>6243000</v>
      </c>
      <c r="W25" s="390">
        <f t="shared" si="11"/>
        <v>112374000</v>
      </c>
      <c r="X25" s="360">
        <f t="shared" si="5"/>
        <v>0</v>
      </c>
      <c r="Y25" s="361">
        <f t="shared" si="6"/>
        <v>0</v>
      </c>
      <c r="Z25" s="362">
        <f t="shared" si="12"/>
        <v>162005850</v>
      </c>
      <c r="AA25" s="363">
        <f t="shared" si="13"/>
        <v>162005850</v>
      </c>
      <c r="AB25" s="350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</row>
    <row r="26" spans="1:40" s="368" customFormat="1" ht="68.25" customHeight="1">
      <c r="A26" s="346">
        <v>5</v>
      </c>
      <c r="B26" s="377" t="s">
        <v>250</v>
      </c>
      <c r="C26" s="347">
        <v>32</v>
      </c>
      <c r="D26" s="347">
        <v>71</v>
      </c>
      <c r="E26" s="348">
        <v>83.8</v>
      </c>
      <c r="F26" s="347" t="s">
        <v>0</v>
      </c>
      <c r="G26" s="385" t="s">
        <v>43</v>
      </c>
      <c r="H26" s="386"/>
      <c r="I26" s="387">
        <v>83.8</v>
      </c>
      <c r="J26" s="356"/>
      <c r="K26" s="357"/>
      <c r="L26" s="389">
        <f t="shared" si="4"/>
        <v>83.8</v>
      </c>
      <c r="M26" s="887"/>
      <c r="N26" s="390">
        <v>60000</v>
      </c>
      <c r="O26" s="390">
        <f t="shared" si="7"/>
        <v>5028000</v>
      </c>
      <c r="P26" s="389" t="s">
        <v>30</v>
      </c>
      <c r="Q26" s="389">
        <f t="shared" si="8"/>
        <v>83.8</v>
      </c>
      <c r="R26" s="389" t="s">
        <v>243</v>
      </c>
      <c r="S26" s="390">
        <v>9500</v>
      </c>
      <c r="T26" s="360">
        <f t="shared" si="9"/>
        <v>796100</v>
      </c>
      <c r="U26" s="494">
        <v>1</v>
      </c>
      <c r="V26" s="390">
        <f t="shared" si="10"/>
        <v>838000</v>
      </c>
      <c r="W26" s="390">
        <f t="shared" si="11"/>
        <v>15084000</v>
      </c>
      <c r="X26" s="360">
        <f t="shared" si="5"/>
        <v>0</v>
      </c>
      <c r="Y26" s="361">
        <f t="shared" si="6"/>
        <v>0</v>
      </c>
      <c r="Z26" s="362">
        <f t="shared" si="12"/>
        <v>21746100</v>
      </c>
      <c r="AA26" s="363">
        <f t="shared" si="13"/>
        <v>21746100</v>
      </c>
      <c r="AB26" s="350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</row>
    <row r="27" spans="1:40" s="368" customFormat="1" ht="68.25" customHeight="1">
      <c r="A27" s="346">
        <v>5</v>
      </c>
      <c r="B27" s="377" t="s">
        <v>250</v>
      </c>
      <c r="C27" s="347">
        <v>90</v>
      </c>
      <c r="D27" s="347">
        <v>72</v>
      </c>
      <c r="E27" s="348">
        <v>38.3</v>
      </c>
      <c r="F27" s="347" t="s">
        <v>45</v>
      </c>
      <c r="G27" s="385" t="s">
        <v>44</v>
      </c>
      <c r="H27" s="386"/>
      <c r="I27" s="387">
        <v>38.3</v>
      </c>
      <c r="J27" s="356"/>
      <c r="K27" s="357"/>
      <c r="L27" s="389">
        <f t="shared" si="4"/>
        <v>38.3</v>
      </c>
      <c r="M27" s="887"/>
      <c r="N27" s="390">
        <v>60000</v>
      </c>
      <c r="O27" s="390">
        <f t="shared" si="7"/>
        <v>2298000</v>
      </c>
      <c r="P27" s="389" t="s">
        <v>30</v>
      </c>
      <c r="Q27" s="389">
        <f t="shared" si="8"/>
        <v>38.3</v>
      </c>
      <c r="R27" s="389" t="s">
        <v>243</v>
      </c>
      <c r="S27" s="390">
        <v>9500</v>
      </c>
      <c r="T27" s="360">
        <f t="shared" si="9"/>
        <v>363850</v>
      </c>
      <c r="U27" s="494">
        <v>1</v>
      </c>
      <c r="V27" s="390">
        <f t="shared" si="10"/>
        <v>383000</v>
      </c>
      <c r="W27" s="390">
        <f t="shared" si="11"/>
        <v>6894000</v>
      </c>
      <c r="X27" s="360">
        <f t="shared" si="5"/>
        <v>0</v>
      </c>
      <c r="Y27" s="361">
        <f t="shared" si="6"/>
        <v>0</v>
      </c>
      <c r="Z27" s="362">
        <f t="shared" si="12"/>
        <v>9938850</v>
      </c>
      <c r="AA27" s="363">
        <f t="shared" si="13"/>
        <v>9938850</v>
      </c>
      <c r="AB27" s="350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</row>
    <row r="28" spans="1:40" s="405" customFormat="1" ht="68.25" customHeight="1">
      <c r="A28" s="412">
        <v>5</v>
      </c>
      <c r="B28" s="413" t="s">
        <v>250</v>
      </c>
      <c r="C28" s="414">
        <v>187</v>
      </c>
      <c r="D28" s="414">
        <v>72</v>
      </c>
      <c r="E28" s="404">
        <v>181</v>
      </c>
      <c r="F28" s="414" t="s">
        <v>45</v>
      </c>
      <c r="G28" s="428" t="s">
        <v>44</v>
      </c>
      <c r="H28" s="435"/>
      <c r="I28" s="416">
        <v>141.3</v>
      </c>
      <c r="J28" s="356"/>
      <c r="K28" s="357"/>
      <c r="L28" s="417">
        <f t="shared" si="4"/>
        <v>141.3</v>
      </c>
      <c r="M28" s="887"/>
      <c r="N28" s="418">
        <v>60000</v>
      </c>
      <c r="O28" s="418">
        <f>L28*N28</f>
        <v>8478000</v>
      </c>
      <c r="P28" s="417" t="s">
        <v>273</v>
      </c>
      <c r="Q28" s="417">
        <f>L28-2.5</f>
        <v>138.8</v>
      </c>
      <c r="R28" s="417" t="s">
        <v>243</v>
      </c>
      <c r="S28" s="418">
        <v>53000</v>
      </c>
      <c r="T28" s="360">
        <f t="shared" si="9"/>
        <v>7356400.000000001</v>
      </c>
      <c r="U28" s="494">
        <v>1</v>
      </c>
      <c r="V28" s="418">
        <f>L28*10000</f>
        <v>1413000</v>
      </c>
      <c r="W28" s="418">
        <f>L28*N28*3</f>
        <v>25434000</v>
      </c>
      <c r="X28" s="407">
        <f>INT(M28/176.4)</f>
        <v>0</v>
      </c>
      <c r="Y28" s="408">
        <f>X28*3500000</f>
        <v>0</v>
      </c>
      <c r="Z28" s="409">
        <f>O28+T28+V28+W28+Y28</f>
        <v>42681400</v>
      </c>
      <c r="AA28" s="410">
        <f>Z28</f>
        <v>42681400</v>
      </c>
      <c r="AB28" s="401"/>
      <c r="AC28" s="411"/>
      <c r="AD28" s="411"/>
      <c r="AE28" s="411"/>
      <c r="AF28" s="411"/>
      <c r="AG28" s="411"/>
      <c r="AH28" s="411" t="s">
        <v>274</v>
      </c>
      <c r="AI28" s="411"/>
      <c r="AJ28" s="411"/>
      <c r="AK28" s="411"/>
      <c r="AL28" s="411"/>
      <c r="AM28" s="411"/>
      <c r="AN28" s="411"/>
    </row>
    <row r="29" spans="1:40" s="405" customFormat="1" ht="68.25" customHeight="1">
      <c r="A29" s="412">
        <v>5</v>
      </c>
      <c r="B29" s="413" t="s">
        <v>250</v>
      </c>
      <c r="C29" s="414">
        <v>186</v>
      </c>
      <c r="D29" s="414">
        <v>72</v>
      </c>
      <c r="E29" s="404">
        <v>330.8</v>
      </c>
      <c r="F29" s="414" t="s">
        <v>45</v>
      </c>
      <c r="G29" s="428" t="s">
        <v>44</v>
      </c>
      <c r="H29" s="435"/>
      <c r="I29" s="416">
        <f>E29</f>
        <v>330.8</v>
      </c>
      <c r="J29" s="356"/>
      <c r="K29" s="357"/>
      <c r="L29" s="417">
        <f t="shared" si="4"/>
        <v>330.8</v>
      </c>
      <c r="M29" s="888"/>
      <c r="N29" s="418">
        <v>60000</v>
      </c>
      <c r="O29" s="418">
        <f>L29*N29</f>
        <v>19848000</v>
      </c>
      <c r="P29" s="417" t="s">
        <v>75</v>
      </c>
      <c r="Q29" s="417">
        <f>L29-5</f>
        <v>325.8</v>
      </c>
      <c r="R29" s="417" t="s">
        <v>243</v>
      </c>
      <c r="S29" s="407">
        <v>35200</v>
      </c>
      <c r="T29" s="360">
        <f t="shared" si="9"/>
        <v>11468160</v>
      </c>
      <c r="U29" s="494">
        <v>1</v>
      </c>
      <c r="V29" s="418">
        <f>L29*10000</f>
        <v>3308000</v>
      </c>
      <c r="W29" s="418">
        <f>L29*N29*3</f>
        <v>59544000</v>
      </c>
      <c r="X29" s="407">
        <f>INT(M29/176.4)</f>
        <v>0</v>
      </c>
      <c r="Y29" s="408">
        <f>X29*3500000</f>
        <v>0</v>
      </c>
      <c r="Z29" s="409">
        <f>O29+T29+V29+W29+Y29</f>
        <v>94168160</v>
      </c>
      <c r="AA29" s="410">
        <f>Z29</f>
        <v>94168160</v>
      </c>
      <c r="AB29" s="40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</row>
    <row r="30" spans="1:40" s="405" customFormat="1" ht="68.25" customHeight="1">
      <c r="A30" s="412">
        <v>6</v>
      </c>
      <c r="B30" s="413" t="s">
        <v>212</v>
      </c>
      <c r="C30" s="414">
        <v>61</v>
      </c>
      <c r="D30" s="414">
        <v>81</v>
      </c>
      <c r="E30" s="404">
        <v>273.1</v>
      </c>
      <c r="F30" s="414" t="s">
        <v>0</v>
      </c>
      <c r="G30" s="415" t="s">
        <v>37</v>
      </c>
      <c r="H30" s="416">
        <v>254.4</v>
      </c>
      <c r="I30" s="416">
        <v>18.700000000000017</v>
      </c>
      <c r="J30" s="356"/>
      <c r="K30" s="357"/>
      <c r="L30" s="417">
        <f t="shared" si="4"/>
        <v>273.1</v>
      </c>
      <c r="M30" s="1015">
        <f>L30+L31</f>
        <v>474.40000000000003</v>
      </c>
      <c r="N30" s="418">
        <v>60000</v>
      </c>
      <c r="O30" s="418">
        <f t="shared" si="7"/>
        <v>16386000.000000002</v>
      </c>
      <c r="P30" s="417" t="s">
        <v>30</v>
      </c>
      <c r="Q30" s="417">
        <f t="shared" si="8"/>
        <v>273.1</v>
      </c>
      <c r="R30" s="417" t="s">
        <v>243</v>
      </c>
      <c r="S30" s="418">
        <v>9500</v>
      </c>
      <c r="T30" s="360">
        <f t="shared" si="9"/>
        <v>2594450</v>
      </c>
      <c r="U30" s="494">
        <v>1</v>
      </c>
      <c r="V30" s="418">
        <f t="shared" si="10"/>
        <v>2731000</v>
      </c>
      <c r="W30" s="418">
        <f t="shared" si="11"/>
        <v>49158000.00000001</v>
      </c>
      <c r="X30" s="407">
        <f t="shared" si="5"/>
        <v>2</v>
      </c>
      <c r="Y30" s="408">
        <f t="shared" si="6"/>
        <v>7000000</v>
      </c>
      <c r="Z30" s="409">
        <f t="shared" si="12"/>
        <v>77869450</v>
      </c>
      <c r="AA30" s="410">
        <f t="shared" si="13"/>
        <v>77869450</v>
      </c>
      <c r="AB30" s="40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</row>
    <row r="31" spans="1:40" s="405" customFormat="1" ht="68.25" customHeight="1">
      <c r="A31" s="412">
        <v>6</v>
      </c>
      <c r="B31" s="413" t="s">
        <v>212</v>
      </c>
      <c r="C31" s="414">
        <v>72</v>
      </c>
      <c r="D31" s="414">
        <v>88</v>
      </c>
      <c r="E31" s="404">
        <v>220.3</v>
      </c>
      <c r="F31" s="414" t="s">
        <v>45</v>
      </c>
      <c r="G31" s="415" t="s">
        <v>44</v>
      </c>
      <c r="H31" s="416">
        <v>201.3</v>
      </c>
      <c r="I31" s="416"/>
      <c r="J31" s="356"/>
      <c r="K31" s="357"/>
      <c r="L31" s="417">
        <f t="shared" si="4"/>
        <v>201.3</v>
      </c>
      <c r="M31" s="1016"/>
      <c r="N31" s="418">
        <v>60000</v>
      </c>
      <c r="O31" s="418">
        <f t="shared" si="7"/>
        <v>12078000</v>
      </c>
      <c r="P31" s="417" t="s">
        <v>30</v>
      </c>
      <c r="Q31" s="417">
        <f>L31</f>
        <v>201.3</v>
      </c>
      <c r="R31" s="417" t="s">
        <v>243</v>
      </c>
      <c r="S31" s="418">
        <v>9500</v>
      </c>
      <c r="T31" s="360">
        <f t="shared" si="9"/>
        <v>1912350</v>
      </c>
      <c r="U31" s="494">
        <v>1</v>
      </c>
      <c r="V31" s="418">
        <f t="shared" si="10"/>
        <v>2013000</v>
      </c>
      <c r="W31" s="418">
        <f t="shared" si="11"/>
        <v>36234000</v>
      </c>
      <c r="X31" s="407">
        <f t="shared" si="5"/>
        <v>0</v>
      </c>
      <c r="Y31" s="408">
        <f t="shared" si="6"/>
        <v>0</v>
      </c>
      <c r="Z31" s="409">
        <f t="shared" si="12"/>
        <v>52237350</v>
      </c>
      <c r="AA31" s="410">
        <f t="shared" si="13"/>
        <v>52237350</v>
      </c>
      <c r="AB31" s="401"/>
      <c r="AC31" s="411"/>
      <c r="AD31" s="411"/>
      <c r="AE31" s="411"/>
      <c r="AF31" s="411"/>
      <c r="AG31" s="411"/>
      <c r="AH31" s="411" t="s">
        <v>262</v>
      </c>
      <c r="AI31" s="411"/>
      <c r="AJ31" s="411"/>
      <c r="AK31" s="411"/>
      <c r="AL31" s="411"/>
      <c r="AM31" s="411"/>
      <c r="AN31" s="411"/>
    </row>
    <row r="32" spans="1:40" s="368" customFormat="1" ht="68.25" customHeight="1">
      <c r="A32" s="347">
        <v>7</v>
      </c>
      <c r="B32" s="380" t="s">
        <v>214</v>
      </c>
      <c r="C32" s="347">
        <v>78</v>
      </c>
      <c r="D32" s="347">
        <v>82</v>
      </c>
      <c r="E32" s="348">
        <v>347.7</v>
      </c>
      <c r="F32" s="347" t="s">
        <v>0</v>
      </c>
      <c r="G32" s="357" t="s">
        <v>235</v>
      </c>
      <c r="H32" s="387">
        <v>318.4</v>
      </c>
      <c r="I32" s="387">
        <v>29.30000000000001</v>
      </c>
      <c r="J32" s="356"/>
      <c r="K32" s="357"/>
      <c r="L32" s="389">
        <f t="shared" si="4"/>
        <v>347.7</v>
      </c>
      <c r="M32" s="419">
        <f>L32</f>
        <v>347.7</v>
      </c>
      <c r="N32" s="390">
        <v>60000</v>
      </c>
      <c r="O32" s="390">
        <f t="shared" si="7"/>
        <v>20862000</v>
      </c>
      <c r="P32" s="389" t="s">
        <v>30</v>
      </c>
      <c r="Q32" s="389">
        <f t="shared" si="8"/>
        <v>347.7</v>
      </c>
      <c r="R32" s="389" t="s">
        <v>243</v>
      </c>
      <c r="S32" s="390">
        <v>9500</v>
      </c>
      <c r="T32" s="360">
        <f t="shared" si="9"/>
        <v>3303150</v>
      </c>
      <c r="U32" s="494">
        <v>1</v>
      </c>
      <c r="V32" s="390">
        <f t="shared" si="10"/>
        <v>3477000</v>
      </c>
      <c r="W32" s="390">
        <f t="shared" si="11"/>
        <v>62586000</v>
      </c>
      <c r="X32" s="360">
        <f t="shared" si="5"/>
        <v>1</v>
      </c>
      <c r="Y32" s="361">
        <f t="shared" si="6"/>
        <v>3500000</v>
      </c>
      <c r="Z32" s="362">
        <f t="shared" si="12"/>
        <v>93728150</v>
      </c>
      <c r="AA32" s="363">
        <f t="shared" si="13"/>
        <v>93728150</v>
      </c>
      <c r="AB32" s="350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</row>
    <row r="33" spans="1:40" s="405" customFormat="1" ht="68.25" customHeight="1">
      <c r="A33" s="414">
        <v>7</v>
      </c>
      <c r="B33" s="462" t="s">
        <v>279</v>
      </c>
      <c r="C33" s="423">
        <v>229</v>
      </c>
      <c r="D33" s="423">
        <v>72</v>
      </c>
      <c r="E33" s="424">
        <v>160.4</v>
      </c>
      <c r="F33" s="423" t="s">
        <v>45</v>
      </c>
      <c r="G33" s="423" t="s">
        <v>76</v>
      </c>
      <c r="H33" s="416">
        <f>E33</f>
        <v>160.4</v>
      </c>
      <c r="I33" s="416"/>
      <c r="J33" s="356"/>
      <c r="K33" s="357"/>
      <c r="L33" s="417">
        <f t="shared" si="4"/>
        <v>160.4</v>
      </c>
      <c r="M33" s="421">
        <f>L33</f>
        <v>160.4</v>
      </c>
      <c r="N33" s="418">
        <v>60000</v>
      </c>
      <c r="O33" s="418">
        <f t="shared" si="7"/>
        <v>9624000</v>
      </c>
      <c r="P33" s="417" t="s">
        <v>278</v>
      </c>
      <c r="Q33" s="417">
        <f>L33</f>
        <v>160.4</v>
      </c>
      <c r="R33" s="417" t="s">
        <v>243</v>
      </c>
      <c r="S33" s="418">
        <v>16500</v>
      </c>
      <c r="T33" s="360">
        <f t="shared" si="9"/>
        <v>2646600</v>
      </c>
      <c r="U33" s="494">
        <v>1</v>
      </c>
      <c r="V33" s="418">
        <f>L33*10000</f>
        <v>1604000</v>
      </c>
      <c r="W33" s="418">
        <f>L33*N33*3</f>
        <v>28872000</v>
      </c>
      <c r="X33" s="407">
        <f>INT(M33/176.4)</f>
        <v>0</v>
      </c>
      <c r="Y33" s="408">
        <f>X33*3500000</f>
        <v>0</v>
      </c>
      <c r="Z33" s="409">
        <f>O33+T33+V33+W33+Y33</f>
        <v>42746600</v>
      </c>
      <c r="AA33" s="410">
        <f>Z33</f>
        <v>42746600</v>
      </c>
      <c r="AB33" s="40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</row>
    <row r="34" spans="1:40" s="457" customFormat="1" ht="68.25" customHeight="1">
      <c r="A34" s="446">
        <v>8</v>
      </c>
      <c r="B34" s="463" t="s">
        <v>215</v>
      </c>
      <c r="C34" s="446">
        <v>6</v>
      </c>
      <c r="D34" s="446">
        <v>71</v>
      </c>
      <c r="E34" s="464">
        <v>114.1</v>
      </c>
      <c r="F34" s="446" t="s">
        <v>0</v>
      </c>
      <c r="G34" s="465" t="s">
        <v>43</v>
      </c>
      <c r="H34" s="458"/>
      <c r="I34" s="448">
        <v>114.1</v>
      </c>
      <c r="J34" s="356"/>
      <c r="K34" s="357"/>
      <c r="L34" s="449">
        <f t="shared" si="4"/>
        <v>114.1</v>
      </c>
      <c r="M34" s="450">
        <f>L34</f>
        <v>114.1</v>
      </c>
      <c r="N34" s="451">
        <v>60000</v>
      </c>
      <c r="O34" s="451">
        <f t="shared" si="7"/>
        <v>6846000</v>
      </c>
      <c r="P34" s="449" t="s">
        <v>30</v>
      </c>
      <c r="Q34" s="449">
        <f t="shared" si="8"/>
        <v>114.1</v>
      </c>
      <c r="R34" s="449" t="s">
        <v>243</v>
      </c>
      <c r="S34" s="451">
        <v>9500</v>
      </c>
      <c r="T34" s="360">
        <f t="shared" si="9"/>
        <v>1083950</v>
      </c>
      <c r="U34" s="494">
        <v>1</v>
      </c>
      <c r="V34" s="451">
        <f t="shared" si="10"/>
        <v>1141000</v>
      </c>
      <c r="W34" s="451">
        <f t="shared" si="11"/>
        <v>20538000</v>
      </c>
      <c r="X34" s="452">
        <f t="shared" si="5"/>
        <v>0</v>
      </c>
      <c r="Y34" s="453">
        <f t="shared" si="6"/>
        <v>0</v>
      </c>
      <c r="Z34" s="454">
        <f t="shared" si="12"/>
        <v>29608950</v>
      </c>
      <c r="AA34" s="455">
        <f t="shared" si="13"/>
        <v>29608950</v>
      </c>
      <c r="AB34" s="444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</row>
    <row r="35" spans="1:40" s="405" customFormat="1" ht="68.25" customHeight="1">
      <c r="A35" s="414">
        <v>9</v>
      </c>
      <c r="B35" s="432" t="s">
        <v>217</v>
      </c>
      <c r="C35" s="414">
        <v>15</v>
      </c>
      <c r="D35" s="414">
        <v>71</v>
      </c>
      <c r="E35" s="404">
        <v>133.5</v>
      </c>
      <c r="F35" s="414" t="s">
        <v>45</v>
      </c>
      <c r="G35" s="433" t="s">
        <v>43</v>
      </c>
      <c r="H35" s="434"/>
      <c r="I35" s="416">
        <v>133.5</v>
      </c>
      <c r="J35" s="356"/>
      <c r="K35" s="357"/>
      <c r="L35" s="417">
        <f t="shared" si="4"/>
        <v>133.5</v>
      </c>
      <c r="M35" s="1015">
        <f>SUM(L35:L40)</f>
        <v>2131.1</v>
      </c>
      <c r="N35" s="418">
        <v>60000</v>
      </c>
      <c r="O35" s="418">
        <f t="shared" si="7"/>
        <v>8010000</v>
      </c>
      <c r="P35" s="417" t="s">
        <v>30</v>
      </c>
      <c r="Q35" s="417">
        <f t="shared" si="8"/>
        <v>133.5</v>
      </c>
      <c r="R35" s="417" t="s">
        <v>243</v>
      </c>
      <c r="S35" s="418">
        <v>9500</v>
      </c>
      <c r="T35" s="360">
        <f t="shared" si="9"/>
        <v>1268250</v>
      </c>
      <c r="U35" s="494">
        <v>1</v>
      </c>
      <c r="V35" s="418">
        <f t="shared" si="10"/>
        <v>1335000</v>
      </c>
      <c r="W35" s="418">
        <f t="shared" si="11"/>
        <v>24030000</v>
      </c>
      <c r="X35" s="407">
        <f t="shared" si="5"/>
        <v>12</v>
      </c>
      <c r="Y35" s="408">
        <f t="shared" si="6"/>
        <v>42000000</v>
      </c>
      <c r="Z35" s="409">
        <f t="shared" si="12"/>
        <v>76643250</v>
      </c>
      <c r="AA35" s="410">
        <f t="shared" si="13"/>
        <v>76643250</v>
      </c>
      <c r="AB35" s="40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</row>
    <row r="36" spans="1:40" s="405" customFormat="1" ht="68.25" customHeight="1">
      <c r="A36" s="414">
        <v>9</v>
      </c>
      <c r="B36" s="432" t="s">
        <v>217</v>
      </c>
      <c r="C36" s="414">
        <v>159</v>
      </c>
      <c r="D36" s="414">
        <v>72</v>
      </c>
      <c r="E36" s="404">
        <v>228.7</v>
      </c>
      <c r="F36" s="414" t="s">
        <v>45</v>
      </c>
      <c r="G36" s="433" t="s">
        <v>44</v>
      </c>
      <c r="H36" s="434"/>
      <c r="I36" s="416">
        <f>228.7</f>
        <v>228.7</v>
      </c>
      <c r="J36" s="356"/>
      <c r="K36" s="357"/>
      <c r="L36" s="417">
        <f t="shared" si="4"/>
        <v>228.7</v>
      </c>
      <c r="M36" s="1017"/>
      <c r="N36" s="418">
        <v>60000</v>
      </c>
      <c r="O36" s="418">
        <f t="shared" si="7"/>
        <v>13722000</v>
      </c>
      <c r="P36" s="417" t="s">
        <v>30</v>
      </c>
      <c r="Q36" s="417">
        <f>L36-5</f>
        <v>223.7</v>
      </c>
      <c r="R36" s="417" t="s">
        <v>243</v>
      </c>
      <c r="S36" s="418">
        <v>9500</v>
      </c>
      <c r="T36" s="360">
        <f t="shared" si="9"/>
        <v>2125150</v>
      </c>
      <c r="U36" s="494">
        <v>1</v>
      </c>
      <c r="V36" s="418">
        <f t="shared" si="10"/>
        <v>2287000</v>
      </c>
      <c r="W36" s="418">
        <f t="shared" si="11"/>
        <v>41166000</v>
      </c>
      <c r="X36" s="407">
        <f t="shared" si="5"/>
        <v>0</v>
      </c>
      <c r="Y36" s="408">
        <f t="shared" si="6"/>
        <v>0</v>
      </c>
      <c r="Z36" s="409">
        <f t="shared" si="12"/>
        <v>59300150</v>
      </c>
      <c r="AA36" s="410">
        <f t="shared" si="13"/>
        <v>59300150</v>
      </c>
      <c r="AB36" s="401"/>
      <c r="AC36" s="411"/>
      <c r="AD36" s="411"/>
      <c r="AE36" s="411"/>
      <c r="AF36" s="411"/>
      <c r="AG36" s="411"/>
      <c r="AH36" s="411" t="s">
        <v>258</v>
      </c>
      <c r="AI36" s="411"/>
      <c r="AJ36" s="411"/>
      <c r="AK36" s="411"/>
      <c r="AL36" s="411"/>
      <c r="AM36" s="411"/>
      <c r="AN36" s="411"/>
    </row>
    <row r="37" spans="1:40" s="405" customFormat="1" ht="68.25" customHeight="1">
      <c r="A37" s="414">
        <v>9</v>
      </c>
      <c r="B37" s="432" t="s">
        <v>217</v>
      </c>
      <c r="C37" s="414">
        <v>222</v>
      </c>
      <c r="D37" s="414">
        <v>72</v>
      </c>
      <c r="E37" s="404">
        <v>273.5</v>
      </c>
      <c r="F37" s="414" t="s">
        <v>0</v>
      </c>
      <c r="G37" s="433" t="s">
        <v>44</v>
      </c>
      <c r="H37" s="434"/>
      <c r="I37" s="416">
        <v>224.8</v>
      </c>
      <c r="J37" s="356"/>
      <c r="K37" s="357"/>
      <c r="L37" s="417">
        <f t="shared" si="4"/>
        <v>224.8</v>
      </c>
      <c r="M37" s="1017"/>
      <c r="N37" s="418">
        <v>60000</v>
      </c>
      <c r="O37" s="418">
        <f t="shared" si="7"/>
        <v>13488000</v>
      </c>
      <c r="P37" s="417" t="s">
        <v>30</v>
      </c>
      <c r="Q37" s="417">
        <f t="shared" si="8"/>
        <v>224.8</v>
      </c>
      <c r="R37" s="417" t="s">
        <v>243</v>
      </c>
      <c r="S37" s="418">
        <v>9500</v>
      </c>
      <c r="T37" s="360">
        <f t="shared" si="9"/>
        <v>2135600</v>
      </c>
      <c r="U37" s="494">
        <v>1</v>
      </c>
      <c r="V37" s="418">
        <f t="shared" si="10"/>
        <v>2248000</v>
      </c>
      <c r="W37" s="418">
        <f t="shared" si="11"/>
        <v>40464000</v>
      </c>
      <c r="X37" s="407">
        <f t="shared" si="5"/>
        <v>0</v>
      </c>
      <c r="Y37" s="408">
        <f t="shared" si="6"/>
        <v>0</v>
      </c>
      <c r="Z37" s="409">
        <f t="shared" si="12"/>
        <v>58335600</v>
      </c>
      <c r="AA37" s="410">
        <f t="shared" si="13"/>
        <v>58335600</v>
      </c>
      <c r="AB37" s="401" t="s">
        <v>244</v>
      </c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</row>
    <row r="38" spans="1:40" s="405" customFormat="1" ht="68.25" customHeight="1">
      <c r="A38" s="414">
        <v>9</v>
      </c>
      <c r="B38" s="432" t="s">
        <v>217</v>
      </c>
      <c r="C38" s="414">
        <v>48</v>
      </c>
      <c r="D38" s="414">
        <v>81</v>
      </c>
      <c r="E38" s="404">
        <v>1005.3</v>
      </c>
      <c r="F38" s="414" t="s">
        <v>0</v>
      </c>
      <c r="G38" s="433" t="s">
        <v>37</v>
      </c>
      <c r="H38" s="434"/>
      <c r="I38" s="416">
        <f>1005.3-6</f>
        <v>999.3</v>
      </c>
      <c r="J38" s="356"/>
      <c r="K38" s="357"/>
      <c r="L38" s="417">
        <f t="shared" si="4"/>
        <v>999.3</v>
      </c>
      <c r="M38" s="1017"/>
      <c r="N38" s="418">
        <v>60000</v>
      </c>
      <c r="O38" s="418">
        <f t="shared" si="7"/>
        <v>59958000</v>
      </c>
      <c r="P38" s="417" t="s">
        <v>30</v>
      </c>
      <c r="Q38" s="417">
        <f t="shared" si="8"/>
        <v>999.3</v>
      </c>
      <c r="R38" s="417" t="s">
        <v>243</v>
      </c>
      <c r="S38" s="418">
        <v>9500</v>
      </c>
      <c r="T38" s="360">
        <f t="shared" si="9"/>
        <v>9493350</v>
      </c>
      <c r="U38" s="494">
        <v>1</v>
      </c>
      <c r="V38" s="418">
        <f t="shared" si="10"/>
        <v>9993000</v>
      </c>
      <c r="W38" s="418">
        <f t="shared" si="11"/>
        <v>179874000</v>
      </c>
      <c r="X38" s="407">
        <f t="shared" si="5"/>
        <v>0</v>
      </c>
      <c r="Y38" s="408">
        <f t="shared" si="6"/>
        <v>0</v>
      </c>
      <c r="Z38" s="409">
        <f t="shared" si="12"/>
        <v>259318350</v>
      </c>
      <c r="AA38" s="410">
        <f t="shared" si="13"/>
        <v>259318350</v>
      </c>
      <c r="AB38" s="401"/>
      <c r="AC38" s="411"/>
      <c r="AD38" s="411"/>
      <c r="AE38" s="411"/>
      <c r="AF38" s="411"/>
      <c r="AG38" s="411"/>
      <c r="AH38" s="411"/>
      <c r="AI38" s="411" t="s">
        <v>263</v>
      </c>
      <c r="AJ38" s="411"/>
      <c r="AK38" s="411"/>
      <c r="AL38" s="411"/>
      <c r="AM38" s="411"/>
      <c r="AN38" s="411"/>
    </row>
    <row r="39" spans="1:40" s="405" customFormat="1" ht="68.25" customHeight="1">
      <c r="A39" s="414">
        <v>9</v>
      </c>
      <c r="B39" s="432" t="s">
        <v>217</v>
      </c>
      <c r="C39" s="430">
        <v>58</v>
      </c>
      <c r="D39" s="430">
        <v>71</v>
      </c>
      <c r="E39" s="431">
        <v>462.9</v>
      </c>
      <c r="F39" s="414" t="s">
        <v>0</v>
      </c>
      <c r="G39" s="433" t="s">
        <v>260</v>
      </c>
      <c r="H39" s="434"/>
      <c r="I39" s="416">
        <f>E39</f>
        <v>462.9</v>
      </c>
      <c r="J39" s="356"/>
      <c r="K39" s="357"/>
      <c r="L39" s="417">
        <f t="shared" si="4"/>
        <v>462.9</v>
      </c>
      <c r="M39" s="1017"/>
      <c r="N39" s="418">
        <v>60000</v>
      </c>
      <c r="O39" s="418">
        <f>L39*N39</f>
        <v>27774000</v>
      </c>
      <c r="P39" s="417" t="s">
        <v>30</v>
      </c>
      <c r="Q39" s="417">
        <f>L39</f>
        <v>462.9</v>
      </c>
      <c r="R39" s="417" t="s">
        <v>243</v>
      </c>
      <c r="S39" s="418">
        <v>9500</v>
      </c>
      <c r="T39" s="360">
        <f t="shared" si="9"/>
        <v>4397550</v>
      </c>
      <c r="U39" s="494">
        <v>1</v>
      </c>
      <c r="V39" s="418">
        <f>L39*10000</f>
        <v>4629000</v>
      </c>
      <c r="W39" s="418">
        <f>L39*N39*3</f>
        <v>83322000</v>
      </c>
      <c r="X39" s="407">
        <f t="shared" si="5"/>
        <v>0</v>
      </c>
      <c r="Y39" s="408">
        <f>X39*3500000</f>
        <v>0</v>
      </c>
      <c r="Z39" s="409">
        <f>O39+T39+V39+W39+Y39</f>
        <v>120122550</v>
      </c>
      <c r="AA39" s="410">
        <f>Z39</f>
        <v>120122550</v>
      </c>
      <c r="AB39" s="401"/>
      <c r="AC39" s="411"/>
      <c r="AD39" s="411"/>
      <c r="AE39" s="411"/>
      <c r="AF39" s="411"/>
      <c r="AG39" s="411"/>
      <c r="AH39" s="411"/>
      <c r="AI39" s="411" t="s">
        <v>261</v>
      </c>
      <c r="AJ39" s="411"/>
      <c r="AK39" s="411"/>
      <c r="AL39" s="411"/>
      <c r="AM39" s="411"/>
      <c r="AN39" s="411"/>
    </row>
    <row r="40" spans="1:40" s="405" customFormat="1" ht="68.25" customHeight="1">
      <c r="A40" s="414">
        <v>9</v>
      </c>
      <c r="B40" s="432" t="s">
        <v>217</v>
      </c>
      <c r="C40" s="414">
        <v>64</v>
      </c>
      <c r="D40" s="414">
        <v>71</v>
      </c>
      <c r="E40" s="404">
        <v>96.4</v>
      </c>
      <c r="F40" s="414" t="s">
        <v>0</v>
      </c>
      <c r="G40" s="433" t="s">
        <v>260</v>
      </c>
      <c r="H40" s="435"/>
      <c r="I40" s="416">
        <v>81.9</v>
      </c>
      <c r="J40" s="356"/>
      <c r="K40" s="357"/>
      <c r="L40" s="417">
        <f t="shared" si="4"/>
        <v>81.9</v>
      </c>
      <c r="M40" s="1016"/>
      <c r="N40" s="418">
        <v>60000</v>
      </c>
      <c r="O40" s="418">
        <f>L40*N40</f>
        <v>4914000</v>
      </c>
      <c r="P40" s="417" t="s">
        <v>30</v>
      </c>
      <c r="Q40" s="417">
        <f>L40</f>
        <v>81.9</v>
      </c>
      <c r="R40" s="417" t="s">
        <v>243</v>
      </c>
      <c r="S40" s="418">
        <v>9500</v>
      </c>
      <c r="T40" s="360">
        <f t="shared" si="9"/>
        <v>778050</v>
      </c>
      <c r="U40" s="494">
        <v>1</v>
      </c>
      <c r="V40" s="418">
        <f>L40*10000</f>
        <v>819000</v>
      </c>
      <c r="W40" s="418">
        <f>L40*N40*3</f>
        <v>14742000</v>
      </c>
      <c r="X40" s="407">
        <f t="shared" si="5"/>
        <v>0</v>
      </c>
      <c r="Y40" s="408">
        <f>X40*3500000</f>
        <v>0</v>
      </c>
      <c r="Z40" s="409">
        <f>O40+T40+V40+W40+Y40</f>
        <v>21253050</v>
      </c>
      <c r="AA40" s="410">
        <f>Z40</f>
        <v>21253050</v>
      </c>
      <c r="AB40" s="401"/>
      <c r="AC40" s="411"/>
      <c r="AD40" s="411"/>
      <c r="AE40" s="411"/>
      <c r="AF40" s="411"/>
      <c r="AG40" s="411"/>
      <c r="AH40" s="411"/>
      <c r="AI40" s="411" t="s">
        <v>261</v>
      </c>
      <c r="AJ40" s="411"/>
      <c r="AK40" s="411"/>
      <c r="AL40" s="411"/>
      <c r="AM40" s="411"/>
      <c r="AN40" s="411"/>
    </row>
    <row r="41" spans="1:40" s="457" customFormat="1" ht="68.25" customHeight="1">
      <c r="A41" s="444">
        <v>10</v>
      </c>
      <c r="B41" s="445" t="s">
        <v>218</v>
      </c>
      <c r="C41" s="444">
        <v>53</v>
      </c>
      <c r="D41" s="444">
        <v>81</v>
      </c>
      <c r="E41" s="444">
        <v>462.6</v>
      </c>
      <c r="F41" s="446" t="s">
        <v>0</v>
      </c>
      <c r="G41" s="447" t="s">
        <v>237</v>
      </c>
      <c r="H41" s="448">
        <v>462.6</v>
      </c>
      <c r="I41" s="448"/>
      <c r="J41" s="356"/>
      <c r="K41" s="357"/>
      <c r="L41" s="449">
        <f t="shared" si="4"/>
        <v>462.6</v>
      </c>
      <c r="M41" s="450">
        <f>L41</f>
        <v>462.6</v>
      </c>
      <c r="N41" s="451">
        <v>60000</v>
      </c>
      <c r="O41" s="451">
        <f t="shared" si="7"/>
        <v>27756000</v>
      </c>
      <c r="P41" s="449" t="s">
        <v>30</v>
      </c>
      <c r="Q41" s="449">
        <f t="shared" si="8"/>
        <v>462.6</v>
      </c>
      <c r="R41" s="449" t="s">
        <v>243</v>
      </c>
      <c r="S41" s="451">
        <v>9500</v>
      </c>
      <c r="T41" s="360">
        <f t="shared" si="9"/>
        <v>4394700</v>
      </c>
      <c r="U41" s="494">
        <v>1</v>
      </c>
      <c r="V41" s="451">
        <f t="shared" si="10"/>
        <v>4626000</v>
      </c>
      <c r="W41" s="451">
        <f t="shared" si="11"/>
        <v>83268000</v>
      </c>
      <c r="X41" s="452">
        <f t="shared" si="5"/>
        <v>2</v>
      </c>
      <c r="Y41" s="453">
        <f t="shared" si="6"/>
        <v>7000000</v>
      </c>
      <c r="Z41" s="454">
        <f t="shared" si="12"/>
        <v>127044700</v>
      </c>
      <c r="AA41" s="455">
        <f t="shared" si="13"/>
        <v>127044700</v>
      </c>
      <c r="AB41" s="444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</row>
    <row r="42" spans="1:40" s="457" customFormat="1" ht="68.25" customHeight="1">
      <c r="A42" s="444">
        <v>11</v>
      </c>
      <c r="B42" s="445" t="s">
        <v>219</v>
      </c>
      <c r="C42" s="444">
        <v>52</v>
      </c>
      <c r="D42" s="444">
        <v>81</v>
      </c>
      <c r="E42" s="444">
        <v>419</v>
      </c>
      <c r="F42" s="446" t="s">
        <v>0</v>
      </c>
      <c r="G42" s="447" t="s">
        <v>237</v>
      </c>
      <c r="H42" s="448">
        <v>419</v>
      </c>
      <c r="I42" s="448"/>
      <c r="J42" s="356"/>
      <c r="K42" s="357"/>
      <c r="L42" s="449">
        <f aca="true" t="shared" si="14" ref="L42:L74">H42+I42+J42+K42</f>
        <v>419</v>
      </c>
      <c r="M42" s="450">
        <f>L42</f>
        <v>419</v>
      </c>
      <c r="N42" s="451">
        <v>60000</v>
      </c>
      <c r="O42" s="451">
        <f t="shared" si="7"/>
        <v>25140000</v>
      </c>
      <c r="P42" s="449" t="s">
        <v>30</v>
      </c>
      <c r="Q42" s="449">
        <f t="shared" si="8"/>
        <v>419</v>
      </c>
      <c r="R42" s="449" t="s">
        <v>243</v>
      </c>
      <c r="S42" s="451">
        <v>9500</v>
      </c>
      <c r="T42" s="360">
        <f t="shared" si="9"/>
        <v>3980500</v>
      </c>
      <c r="U42" s="494">
        <v>1</v>
      </c>
      <c r="V42" s="451">
        <f t="shared" si="10"/>
        <v>4190000</v>
      </c>
      <c r="W42" s="451">
        <f t="shared" si="11"/>
        <v>75420000</v>
      </c>
      <c r="X42" s="452">
        <f t="shared" si="5"/>
        <v>2</v>
      </c>
      <c r="Y42" s="453">
        <f t="shared" si="6"/>
        <v>7000000</v>
      </c>
      <c r="Z42" s="454">
        <f t="shared" si="12"/>
        <v>115730500</v>
      </c>
      <c r="AA42" s="455">
        <f t="shared" si="13"/>
        <v>115730500</v>
      </c>
      <c r="AB42" s="444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</row>
    <row r="43" spans="1:40" s="457" customFormat="1" ht="68.25" customHeight="1">
      <c r="A43" s="444">
        <v>12</v>
      </c>
      <c r="B43" s="445" t="s">
        <v>220</v>
      </c>
      <c r="C43" s="444">
        <v>83</v>
      </c>
      <c r="D43" s="444">
        <v>82</v>
      </c>
      <c r="E43" s="444">
        <v>936.2</v>
      </c>
      <c r="F43" s="446" t="s">
        <v>0</v>
      </c>
      <c r="G43" s="447" t="s">
        <v>236</v>
      </c>
      <c r="H43" s="458"/>
      <c r="I43" s="448">
        <v>936.2</v>
      </c>
      <c r="J43" s="356"/>
      <c r="K43" s="357"/>
      <c r="L43" s="449">
        <f t="shared" si="14"/>
        <v>936.2</v>
      </c>
      <c r="M43" s="450">
        <f>L43</f>
        <v>936.2</v>
      </c>
      <c r="N43" s="451">
        <v>60000</v>
      </c>
      <c r="O43" s="451">
        <f t="shared" si="7"/>
        <v>56172000</v>
      </c>
      <c r="P43" s="449" t="s">
        <v>30</v>
      </c>
      <c r="Q43" s="449">
        <f t="shared" si="8"/>
        <v>936.2</v>
      </c>
      <c r="R43" s="449" t="s">
        <v>243</v>
      </c>
      <c r="S43" s="451">
        <v>9500</v>
      </c>
      <c r="T43" s="360">
        <f t="shared" si="9"/>
        <v>8893900</v>
      </c>
      <c r="U43" s="494">
        <v>1</v>
      </c>
      <c r="V43" s="451">
        <f t="shared" si="10"/>
        <v>9362000</v>
      </c>
      <c r="W43" s="451">
        <f t="shared" si="11"/>
        <v>168516000</v>
      </c>
      <c r="X43" s="452">
        <f t="shared" si="5"/>
        <v>5</v>
      </c>
      <c r="Y43" s="453">
        <f t="shared" si="6"/>
        <v>17500000</v>
      </c>
      <c r="Z43" s="454">
        <f t="shared" si="12"/>
        <v>260443900</v>
      </c>
      <c r="AA43" s="455">
        <f t="shared" si="13"/>
        <v>260443900</v>
      </c>
      <c r="AB43" s="444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</row>
    <row r="44" spans="1:40" s="457" customFormat="1" ht="68.25" customHeight="1">
      <c r="A44" s="444">
        <v>12</v>
      </c>
      <c r="B44" s="445" t="s">
        <v>221</v>
      </c>
      <c r="C44" s="444">
        <v>213</v>
      </c>
      <c r="D44" s="444">
        <v>72</v>
      </c>
      <c r="E44" s="444">
        <v>328.1</v>
      </c>
      <c r="F44" s="446" t="s">
        <v>45</v>
      </c>
      <c r="G44" s="447" t="s">
        <v>44</v>
      </c>
      <c r="H44" s="448"/>
      <c r="I44" s="448">
        <v>110.7</v>
      </c>
      <c r="J44" s="356"/>
      <c r="K44" s="357"/>
      <c r="L44" s="449">
        <f t="shared" si="14"/>
        <v>110.7</v>
      </c>
      <c r="M44" s="450">
        <f>L44</f>
        <v>110.7</v>
      </c>
      <c r="N44" s="451">
        <v>60000</v>
      </c>
      <c r="O44" s="451">
        <f t="shared" si="7"/>
        <v>6642000</v>
      </c>
      <c r="P44" s="449" t="s">
        <v>30</v>
      </c>
      <c r="Q44" s="449">
        <f t="shared" si="8"/>
        <v>110.7</v>
      </c>
      <c r="R44" s="449" t="s">
        <v>243</v>
      </c>
      <c r="S44" s="451">
        <v>9500</v>
      </c>
      <c r="T44" s="360">
        <f t="shared" si="9"/>
        <v>1051650</v>
      </c>
      <c r="U44" s="494">
        <v>1</v>
      </c>
      <c r="V44" s="451">
        <f t="shared" si="10"/>
        <v>1107000</v>
      </c>
      <c r="W44" s="451">
        <f t="shared" si="11"/>
        <v>19926000</v>
      </c>
      <c r="X44" s="452">
        <f t="shared" si="5"/>
        <v>0</v>
      </c>
      <c r="Y44" s="453">
        <f t="shared" si="6"/>
        <v>0</v>
      </c>
      <c r="Z44" s="454">
        <f t="shared" si="12"/>
        <v>28726650</v>
      </c>
      <c r="AA44" s="455">
        <f t="shared" si="13"/>
        <v>28726650</v>
      </c>
      <c r="AB44" s="444"/>
      <c r="AC44" s="456"/>
      <c r="AD44" s="456"/>
      <c r="AE44" s="456"/>
      <c r="AF44" s="456"/>
      <c r="AG44" s="456"/>
      <c r="AH44" s="456" t="s">
        <v>271</v>
      </c>
      <c r="AI44" s="456"/>
      <c r="AJ44" s="456"/>
      <c r="AK44" s="456"/>
      <c r="AL44" s="456"/>
      <c r="AM44" s="456"/>
      <c r="AN44" s="456"/>
    </row>
    <row r="45" spans="1:40" s="457" customFormat="1" ht="68.25" customHeight="1">
      <c r="A45" s="444">
        <v>13</v>
      </c>
      <c r="B45" s="445" t="s">
        <v>251</v>
      </c>
      <c r="C45" s="444">
        <v>49</v>
      </c>
      <c r="D45" s="444">
        <v>72</v>
      </c>
      <c r="E45" s="444">
        <v>179.5</v>
      </c>
      <c r="F45" s="446" t="s">
        <v>0</v>
      </c>
      <c r="G45" s="447" t="s">
        <v>43</v>
      </c>
      <c r="H45" s="448">
        <v>179.5</v>
      </c>
      <c r="I45" s="448"/>
      <c r="J45" s="356"/>
      <c r="K45" s="357"/>
      <c r="L45" s="449">
        <f t="shared" si="14"/>
        <v>179.5</v>
      </c>
      <c r="M45" s="1024">
        <f>SUM(L45:L50)</f>
        <v>1722.5</v>
      </c>
      <c r="N45" s="451">
        <v>60000</v>
      </c>
      <c r="O45" s="451">
        <f t="shared" si="7"/>
        <v>10770000</v>
      </c>
      <c r="P45" s="449" t="s">
        <v>30</v>
      </c>
      <c r="Q45" s="449">
        <f t="shared" si="8"/>
        <v>179.5</v>
      </c>
      <c r="R45" s="449" t="s">
        <v>243</v>
      </c>
      <c r="S45" s="451">
        <v>9500</v>
      </c>
      <c r="T45" s="360">
        <f t="shared" si="9"/>
        <v>1705250</v>
      </c>
      <c r="U45" s="494">
        <v>1</v>
      </c>
      <c r="V45" s="451">
        <f t="shared" si="10"/>
        <v>1795000</v>
      </c>
      <c r="W45" s="451">
        <f t="shared" si="11"/>
        <v>32310000</v>
      </c>
      <c r="X45" s="452">
        <f t="shared" si="5"/>
        <v>9</v>
      </c>
      <c r="Y45" s="453">
        <f t="shared" si="6"/>
        <v>31500000</v>
      </c>
      <c r="Z45" s="454">
        <f t="shared" si="12"/>
        <v>78080250</v>
      </c>
      <c r="AA45" s="455">
        <f t="shared" si="13"/>
        <v>78080250</v>
      </c>
      <c r="AB45" s="444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</row>
    <row r="46" spans="1:40" s="457" customFormat="1" ht="68.25" customHeight="1">
      <c r="A46" s="444">
        <v>14</v>
      </c>
      <c r="B46" s="445" t="s">
        <v>251</v>
      </c>
      <c r="C46" s="444">
        <v>83</v>
      </c>
      <c r="D46" s="444">
        <v>72</v>
      </c>
      <c r="E46" s="444">
        <v>304.3</v>
      </c>
      <c r="F46" s="444" t="s">
        <v>45</v>
      </c>
      <c r="G46" s="447" t="s">
        <v>44</v>
      </c>
      <c r="H46" s="448">
        <v>304.3</v>
      </c>
      <c r="I46" s="448"/>
      <c r="J46" s="356"/>
      <c r="K46" s="357"/>
      <c r="L46" s="449">
        <f t="shared" si="14"/>
        <v>304.3</v>
      </c>
      <c r="M46" s="1025"/>
      <c r="N46" s="451">
        <v>60000</v>
      </c>
      <c r="O46" s="451">
        <f t="shared" si="7"/>
        <v>18258000</v>
      </c>
      <c r="P46" s="449" t="s">
        <v>30</v>
      </c>
      <c r="Q46" s="449">
        <f t="shared" si="8"/>
        <v>304.3</v>
      </c>
      <c r="R46" s="449" t="s">
        <v>243</v>
      </c>
      <c r="S46" s="451">
        <v>9500</v>
      </c>
      <c r="T46" s="360">
        <f t="shared" si="9"/>
        <v>2890850</v>
      </c>
      <c r="U46" s="494">
        <v>1</v>
      </c>
      <c r="V46" s="451">
        <f t="shared" si="10"/>
        <v>3043000</v>
      </c>
      <c r="W46" s="451">
        <f t="shared" si="11"/>
        <v>54774000</v>
      </c>
      <c r="X46" s="452">
        <f t="shared" si="5"/>
        <v>0</v>
      </c>
      <c r="Y46" s="453">
        <f t="shared" si="6"/>
        <v>0</v>
      </c>
      <c r="Z46" s="454">
        <f t="shared" si="12"/>
        <v>78965850</v>
      </c>
      <c r="AA46" s="455">
        <f t="shared" si="13"/>
        <v>78965850</v>
      </c>
      <c r="AB46" s="444"/>
      <c r="AC46" s="456"/>
      <c r="AD46" s="456"/>
      <c r="AE46" s="456"/>
      <c r="AF46" s="456"/>
      <c r="AG46" s="456"/>
      <c r="AH46" s="456"/>
      <c r="AI46" s="456"/>
      <c r="AJ46" s="456"/>
      <c r="AK46" s="456"/>
      <c r="AL46" s="456"/>
      <c r="AM46" s="456"/>
      <c r="AN46" s="456"/>
    </row>
    <row r="47" spans="1:40" s="405" customFormat="1" ht="68.25" customHeight="1">
      <c r="A47" s="401">
        <v>14</v>
      </c>
      <c r="B47" s="402" t="s">
        <v>251</v>
      </c>
      <c r="C47" s="401">
        <v>158</v>
      </c>
      <c r="D47" s="401">
        <v>72</v>
      </c>
      <c r="E47" s="401">
        <v>136.1</v>
      </c>
      <c r="F47" s="401" t="s">
        <v>45</v>
      </c>
      <c r="G47" s="415" t="s">
        <v>44</v>
      </c>
      <c r="H47" s="416">
        <v>109.6</v>
      </c>
      <c r="I47" s="416">
        <v>26.5</v>
      </c>
      <c r="J47" s="356"/>
      <c r="K47" s="357"/>
      <c r="L47" s="417">
        <f t="shared" si="14"/>
        <v>136.1</v>
      </c>
      <c r="M47" s="887"/>
      <c r="N47" s="418">
        <v>60000</v>
      </c>
      <c r="O47" s="418">
        <f t="shared" si="7"/>
        <v>8166000</v>
      </c>
      <c r="P47" s="417" t="s">
        <v>75</v>
      </c>
      <c r="Q47" s="417">
        <f t="shared" si="8"/>
        <v>136.1</v>
      </c>
      <c r="R47" s="417" t="s">
        <v>243</v>
      </c>
      <c r="S47" s="407">
        <v>35200</v>
      </c>
      <c r="T47" s="360">
        <f t="shared" si="9"/>
        <v>4790720</v>
      </c>
      <c r="U47" s="494">
        <v>1</v>
      </c>
      <c r="V47" s="418">
        <f t="shared" si="10"/>
        <v>1361000</v>
      </c>
      <c r="W47" s="418">
        <f t="shared" si="11"/>
        <v>24498000</v>
      </c>
      <c r="X47" s="407">
        <f t="shared" si="5"/>
        <v>0</v>
      </c>
      <c r="Y47" s="408">
        <f t="shared" si="6"/>
        <v>0</v>
      </c>
      <c r="Z47" s="409">
        <f t="shared" si="12"/>
        <v>38815720</v>
      </c>
      <c r="AA47" s="410">
        <f t="shared" si="13"/>
        <v>38815720</v>
      </c>
      <c r="AB47" s="40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</row>
    <row r="48" spans="1:40" s="457" customFormat="1" ht="68.25" customHeight="1">
      <c r="A48" s="444">
        <v>14</v>
      </c>
      <c r="B48" s="445" t="s">
        <v>251</v>
      </c>
      <c r="C48" s="444">
        <v>103</v>
      </c>
      <c r="D48" s="444">
        <v>72</v>
      </c>
      <c r="E48" s="444">
        <v>109.5</v>
      </c>
      <c r="F48" s="444" t="s">
        <v>45</v>
      </c>
      <c r="G48" s="447" t="s">
        <v>44</v>
      </c>
      <c r="H48" s="458"/>
      <c r="I48" s="448">
        <v>109.5</v>
      </c>
      <c r="J48" s="356"/>
      <c r="K48" s="357"/>
      <c r="L48" s="449">
        <f t="shared" si="14"/>
        <v>109.5</v>
      </c>
      <c r="M48" s="1025"/>
      <c r="N48" s="451">
        <v>60000</v>
      </c>
      <c r="O48" s="451">
        <f t="shared" si="7"/>
        <v>6570000</v>
      </c>
      <c r="P48" s="449" t="s">
        <v>30</v>
      </c>
      <c r="Q48" s="449">
        <f t="shared" si="8"/>
        <v>109.5</v>
      </c>
      <c r="R48" s="449" t="s">
        <v>243</v>
      </c>
      <c r="S48" s="451">
        <v>9500</v>
      </c>
      <c r="T48" s="360">
        <f t="shared" si="9"/>
        <v>1040250</v>
      </c>
      <c r="U48" s="494">
        <v>1</v>
      </c>
      <c r="V48" s="451">
        <f t="shared" si="10"/>
        <v>1095000</v>
      </c>
      <c r="W48" s="451">
        <f t="shared" si="11"/>
        <v>19710000</v>
      </c>
      <c r="X48" s="452">
        <f t="shared" si="5"/>
        <v>0</v>
      </c>
      <c r="Y48" s="453">
        <f t="shared" si="6"/>
        <v>0</v>
      </c>
      <c r="Z48" s="454">
        <f t="shared" si="12"/>
        <v>28415250</v>
      </c>
      <c r="AA48" s="455">
        <f t="shared" si="13"/>
        <v>28415250</v>
      </c>
      <c r="AB48" s="444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</row>
    <row r="49" spans="1:40" s="457" customFormat="1" ht="68.25" customHeight="1">
      <c r="A49" s="444">
        <v>14</v>
      </c>
      <c r="B49" s="445" t="s">
        <v>251</v>
      </c>
      <c r="C49" s="444">
        <v>62</v>
      </c>
      <c r="D49" s="444">
        <v>81</v>
      </c>
      <c r="E49" s="444">
        <v>597.9</v>
      </c>
      <c r="F49" s="444" t="s">
        <v>45</v>
      </c>
      <c r="G49" s="447" t="s">
        <v>37</v>
      </c>
      <c r="H49" s="448">
        <v>597.9</v>
      </c>
      <c r="I49" s="448"/>
      <c r="J49" s="356"/>
      <c r="K49" s="357"/>
      <c r="L49" s="449">
        <f t="shared" si="14"/>
        <v>597.9</v>
      </c>
      <c r="M49" s="1025"/>
      <c r="N49" s="451">
        <v>60000</v>
      </c>
      <c r="O49" s="451">
        <f t="shared" si="7"/>
        <v>35874000</v>
      </c>
      <c r="P49" s="449" t="s">
        <v>30</v>
      </c>
      <c r="Q49" s="449">
        <f t="shared" si="8"/>
        <v>597.9</v>
      </c>
      <c r="R49" s="449" t="s">
        <v>243</v>
      </c>
      <c r="S49" s="451">
        <v>9500</v>
      </c>
      <c r="T49" s="360">
        <f t="shared" si="9"/>
        <v>5680050</v>
      </c>
      <c r="U49" s="494">
        <v>1</v>
      </c>
      <c r="V49" s="451">
        <f t="shared" si="10"/>
        <v>5979000</v>
      </c>
      <c r="W49" s="451">
        <f t="shared" si="11"/>
        <v>107622000</v>
      </c>
      <c r="X49" s="452">
        <f t="shared" si="5"/>
        <v>0</v>
      </c>
      <c r="Y49" s="453">
        <f t="shared" si="6"/>
        <v>0</v>
      </c>
      <c r="Z49" s="454">
        <f t="shared" si="12"/>
        <v>155155050</v>
      </c>
      <c r="AA49" s="455">
        <f t="shared" si="13"/>
        <v>155155050</v>
      </c>
      <c r="AB49" s="444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</row>
    <row r="50" spans="1:40" s="457" customFormat="1" ht="68.25" customHeight="1">
      <c r="A50" s="444">
        <v>14</v>
      </c>
      <c r="B50" s="445" t="s">
        <v>251</v>
      </c>
      <c r="C50" s="444">
        <v>49</v>
      </c>
      <c r="D50" s="444">
        <v>81</v>
      </c>
      <c r="E50" s="444">
        <v>395.2</v>
      </c>
      <c r="F50" s="444" t="s">
        <v>0</v>
      </c>
      <c r="G50" s="447" t="s">
        <v>37</v>
      </c>
      <c r="H50" s="459">
        <v>395.2</v>
      </c>
      <c r="I50" s="459"/>
      <c r="J50" s="356"/>
      <c r="K50" s="357"/>
      <c r="L50" s="449">
        <f t="shared" si="14"/>
        <v>395.2</v>
      </c>
      <c r="M50" s="1026"/>
      <c r="N50" s="451">
        <v>60000</v>
      </c>
      <c r="O50" s="451">
        <f t="shared" si="7"/>
        <v>23712000</v>
      </c>
      <c r="P50" s="449" t="s">
        <v>30</v>
      </c>
      <c r="Q50" s="449">
        <f t="shared" si="8"/>
        <v>395.2</v>
      </c>
      <c r="R50" s="449" t="s">
        <v>243</v>
      </c>
      <c r="S50" s="451">
        <v>9500</v>
      </c>
      <c r="T50" s="360">
        <f t="shared" si="9"/>
        <v>3754400</v>
      </c>
      <c r="U50" s="494">
        <v>1</v>
      </c>
      <c r="V50" s="451">
        <f t="shared" si="10"/>
        <v>3952000</v>
      </c>
      <c r="W50" s="451">
        <f t="shared" si="11"/>
        <v>71136000</v>
      </c>
      <c r="X50" s="452">
        <f t="shared" si="5"/>
        <v>0</v>
      </c>
      <c r="Y50" s="453">
        <f t="shared" si="6"/>
        <v>0</v>
      </c>
      <c r="Z50" s="454">
        <f t="shared" si="12"/>
        <v>102554400</v>
      </c>
      <c r="AA50" s="455">
        <f t="shared" si="13"/>
        <v>102554400</v>
      </c>
      <c r="AB50" s="444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</row>
    <row r="51" spans="1:40" s="405" customFormat="1" ht="68.25" customHeight="1">
      <c r="A51" s="401">
        <v>14</v>
      </c>
      <c r="B51" s="402" t="s">
        <v>252</v>
      </c>
      <c r="C51" s="401">
        <v>24</v>
      </c>
      <c r="D51" s="401">
        <v>72</v>
      </c>
      <c r="E51" s="460">
        <v>186</v>
      </c>
      <c r="F51" s="401" t="s">
        <v>0</v>
      </c>
      <c r="G51" s="415" t="s">
        <v>44</v>
      </c>
      <c r="H51" s="416">
        <v>159.4</v>
      </c>
      <c r="I51" s="416">
        <v>26.599999999999994</v>
      </c>
      <c r="J51" s="356"/>
      <c r="K51" s="357"/>
      <c r="L51" s="417">
        <f t="shared" si="14"/>
        <v>186</v>
      </c>
      <c r="M51" s="421">
        <f>L51</f>
        <v>186</v>
      </c>
      <c r="N51" s="418">
        <v>60000</v>
      </c>
      <c r="O51" s="418">
        <f>L51*N51</f>
        <v>11160000</v>
      </c>
      <c r="P51" s="417" t="s">
        <v>30</v>
      </c>
      <c r="Q51" s="417">
        <f>L51</f>
        <v>186</v>
      </c>
      <c r="R51" s="417" t="s">
        <v>243</v>
      </c>
      <c r="S51" s="418">
        <v>9500</v>
      </c>
      <c r="T51" s="360">
        <f t="shared" si="9"/>
        <v>1767000</v>
      </c>
      <c r="U51" s="494">
        <v>1</v>
      </c>
      <c r="V51" s="418">
        <f>L51*10000</f>
        <v>1860000</v>
      </c>
      <c r="W51" s="418">
        <f>L51*N51*3</f>
        <v>33480000</v>
      </c>
      <c r="X51" s="407">
        <f t="shared" si="5"/>
        <v>1</v>
      </c>
      <c r="Y51" s="408">
        <f>X51*3500000</f>
        <v>3500000</v>
      </c>
      <c r="Z51" s="409">
        <f>O51+T51+V51+W51+Y51</f>
        <v>51767000</v>
      </c>
      <c r="AA51" s="410">
        <f>Z51</f>
        <v>51767000</v>
      </c>
      <c r="AB51" s="40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</row>
    <row r="52" spans="1:40" s="405" customFormat="1" ht="68.25" customHeight="1">
      <c r="A52" s="401">
        <v>14</v>
      </c>
      <c r="B52" s="402" t="s">
        <v>252</v>
      </c>
      <c r="C52" s="401">
        <v>25</v>
      </c>
      <c r="D52" s="401">
        <v>82</v>
      </c>
      <c r="E52" s="401">
        <v>250</v>
      </c>
      <c r="F52" s="401" t="s">
        <v>0</v>
      </c>
      <c r="G52" s="401" t="s">
        <v>44</v>
      </c>
      <c r="H52" s="416"/>
      <c r="I52" s="416">
        <v>250</v>
      </c>
      <c r="J52" s="403"/>
      <c r="K52" s="415"/>
      <c r="L52" s="417">
        <f t="shared" si="14"/>
        <v>250</v>
      </c>
      <c r="M52" s="429">
        <f>L52</f>
        <v>250</v>
      </c>
      <c r="N52" s="418">
        <v>60000</v>
      </c>
      <c r="O52" s="418">
        <f>L52*N52</f>
        <v>15000000</v>
      </c>
      <c r="P52" s="417" t="s">
        <v>266</v>
      </c>
      <c r="Q52" s="417">
        <f>L52</f>
        <v>250</v>
      </c>
      <c r="R52" s="417" t="s">
        <v>243</v>
      </c>
      <c r="S52" s="418">
        <v>33800</v>
      </c>
      <c r="T52" s="360">
        <f t="shared" si="9"/>
        <v>8450000</v>
      </c>
      <c r="U52" s="494">
        <v>1</v>
      </c>
      <c r="V52" s="418">
        <f>L52*10000</f>
        <v>2500000</v>
      </c>
      <c r="W52" s="418">
        <f>L52*N52*3</f>
        <v>45000000</v>
      </c>
      <c r="X52" s="407">
        <f t="shared" si="5"/>
        <v>1</v>
      </c>
      <c r="Y52" s="408">
        <f>X52*3500000</f>
        <v>3500000</v>
      </c>
      <c r="Z52" s="409">
        <f>O52+T52+V52+W52+Y52</f>
        <v>74450000</v>
      </c>
      <c r="AA52" s="410">
        <f>Z52</f>
        <v>74450000</v>
      </c>
      <c r="AB52" s="40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</row>
    <row r="53" spans="1:40" s="405" customFormat="1" ht="68.25" customHeight="1">
      <c r="A53" s="401">
        <v>15</v>
      </c>
      <c r="B53" s="402" t="s">
        <v>242</v>
      </c>
      <c r="C53" s="401">
        <v>121</v>
      </c>
      <c r="D53" s="401">
        <v>82</v>
      </c>
      <c r="E53" s="401">
        <v>612.7</v>
      </c>
      <c r="F53" s="401" t="s">
        <v>0</v>
      </c>
      <c r="G53" s="415" t="s">
        <v>32</v>
      </c>
      <c r="H53" s="416">
        <f>612.7</f>
        <v>612.7</v>
      </c>
      <c r="I53" s="416"/>
      <c r="J53" s="403"/>
      <c r="K53" s="415"/>
      <c r="L53" s="417">
        <f t="shared" si="14"/>
        <v>612.7</v>
      </c>
      <c r="M53" s="1017">
        <f>SUM(L53:L55)</f>
        <v>1033.6</v>
      </c>
      <c r="N53" s="418">
        <v>60000</v>
      </c>
      <c r="O53" s="418">
        <f t="shared" si="7"/>
        <v>36762000</v>
      </c>
      <c r="P53" s="417" t="s">
        <v>30</v>
      </c>
      <c r="Q53" s="417">
        <f t="shared" si="8"/>
        <v>612.7</v>
      </c>
      <c r="R53" s="417" t="s">
        <v>243</v>
      </c>
      <c r="S53" s="418">
        <v>9500</v>
      </c>
      <c r="T53" s="360">
        <f t="shared" si="9"/>
        <v>5820650</v>
      </c>
      <c r="U53" s="494">
        <v>1</v>
      </c>
      <c r="V53" s="418">
        <f t="shared" si="10"/>
        <v>6127000</v>
      </c>
      <c r="W53" s="418">
        <f t="shared" si="11"/>
        <v>110286000</v>
      </c>
      <c r="X53" s="407">
        <f t="shared" si="5"/>
        <v>5</v>
      </c>
      <c r="Y53" s="408">
        <f t="shared" si="6"/>
        <v>17500000</v>
      </c>
      <c r="Z53" s="409">
        <f t="shared" si="12"/>
        <v>176495650</v>
      </c>
      <c r="AA53" s="410">
        <f t="shared" si="13"/>
        <v>176495650</v>
      </c>
      <c r="AB53" s="401"/>
      <c r="AC53" s="411"/>
      <c r="AD53" s="411"/>
      <c r="AE53" s="411"/>
      <c r="AF53" s="411"/>
      <c r="AG53" s="411"/>
      <c r="AH53" s="411"/>
      <c r="AI53" s="411"/>
      <c r="AJ53" s="411"/>
      <c r="AK53" s="411"/>
      <c r="AL53" s="411"/>
      <c r="AM53" s="411"/>
      <c r="AN53" s="411"/>
    </row>
    <row r="54" spans="1:40" s="405" customFormat="1" ht="68.25" customHeight="1">
      <c r="A54" s="401">
        <v>15</v>
      </c>
      <c r="B54" s="402" t="s">
        <v>242</v>
      </c>
      <c r="C54" s="401">
        <v>228</v>
      </c>
      <c r="D54" s="401">
        <v>72</v>
      </c>
      <c r="E54" s="401">
        <v>136.3</v>
      </c>
      <c r="F54" s="401" t="s">
        <v>45</v>
      </c>
      <c r="G54" s="415" t="s">
        <v>44</v>
      </c>
      <c r="H54" s="416">
        <v>136.3</v>
      </c>
      <c r="I54" s="416"/>
      <c r="J54" s="403"/>
      <c r="K54" s="415"/>
      <c r="L54" s="417">
        <f t="shared" si="14"/>
        <v>136.3</v>
      </c>
      <c r="M54" s="1017"/>
      <c r="N54" s="418">
        <v>60000</v>
      </c>
      <c r="O54" s="418">
        <f>L54*N54</f>
        <v>8178000.000000001</v>
      </c>
      <c r="P54" s="417" t="s">
        <v>30</v>
      </c>
      <c r="Q54" s="417">
        <f>L54</f>
        <v>136.3</v>
      </c>
      <c r="R54" s="417" t="s">
        <v>243</v>
      </c>
      <c r="S54" s="418">
        <v>9500</v>
      </c>
      <c r="T54" s="360">
        <f t="shared" si="9"/>
        <v>1294850</v>
      </c>
      <c r="U54" s="494">
        <v>1</v>
      </c>
      <c r="V54" s="418">
        <f>L54*10000</f>
        <v>1363000</v>
      </c>
      <c r="W54" s="418">
        <f>L54*N54*3</f>
        <v>24534000.000000004</v>
      </c>
      <c r="X54" s="407">
        <f t="shared" si="5"/>
        <v>0</v>
      </c>
      <c r="Y54" s="408">
        <f>X54*3500000</f>
        <v>0</v>
      </c>
      <c r="Z54" s="409">
        <f>O54+T54+V54+W54+Y54</f>
        <v>35369850</v>
      </c>
      <c r="AA54" s="410">
        <f>Z54</f>
        <v>35369850</v>
      </c>
      <c r="AB54" s="40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</row>
    <row r="55" spans="1:40" s="405" customFormat="1" ht="68.25" customHeight="1">
      <c r="A55" s="401">
        <v>15</v>
      </c>
      <c r="B55" s="402" t="s">
        <v>242</v>
      </c>
      <c r="C55" s="401">
        <v>84</v>
      </c>
      <c r="D55" s="401">
        <v>82</v>
      </c>
      <c r="E55" s="401">
        <v>304.6</v>
      </c>
      <c r="F55" s="438" t="s">
        <v>0</v>
      </c>
      <c r="G55" s="415" t="s">
        <v>32</v>
      </c>
      <c r="H55" s="416"/>
      <c r="I55" s="416">
        <f>E55-20</f>
        <v>284.6</v>
      </c>
      <c r="J55" s="403"/>
      <c r="K55" s="415"/>
      <c r="L55" s="417">
        <f t="shared" si="14"/>
        <v>284.6</v>
      </c>
      <c r="M55" s="1016"/>
      <c r="N55" s="418">
        <v>60000</v>
      </c>
      <c r="O55" s="418">
        <f>L55*N55</f>
        <v>17076000</v>
      </c>
      <c r="P55" s="417" t="s">
        <v>30</v>
      </c>
      <c r="Q55" s="417">
        <f>L55</f>
        <v>284.6</v>
      </c>
      <c r="R55" s="417" t="s">
        <v>243</v>
      </c>
      <c r="S55" s="418">
        <v>9500</v>
      </c>
      <c r="T55" s="360">
        <f t="shared" si="9"/>
        <v>2703700</v>
      </c>
      <c r="U55" s="494">
        <v>1</v>
      </c>
      <c r="V55" s="418">
        <f>L55*10000</f>
        <v>2846000</v>
      </c>
      <c r="W55" s="418">
        <f>L55*N55*3</f>
        <v>51228000</v>
      </c>
      <c r="X55" s="407">
        <f t="shared" si="5"/>
        <v>0</v>
      </c>
      <c r="Y55" s="408">
        <f>X55*3500000</f>
        <v>0</v>
      </c>
      <c r="Z55" s="409">
        <f>O55+T55+V55+W55+Y55</f>
        <v>73853700</v>
      </c>
      <c r="AA55" s="410">
        <f>Z55</f>
        <v>73853700</v>
      </c>
      <c r="AB55" s="40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</row>
    <row r="56" spans="1:40" s="405" customFormat="1" ht="68.25" customHeight="1">
      <c r="A56" s="401">
        <v>16</v>
      </c>
      <c r="B56" s="402" t="s">
        <v>225</v>
      </c>
      <c r="C56" s="401">
        <v>215</v>
      </c>
      <c r="D56" s="401">
        <v>72</v>
      </c>
      <c r="E56" s="401">
        <v>201.1</v>
      </c>
      <c r="F56" s="401" t="s">
        <v>45</v>
      </c>
      <c r="G56" s="438" t="s">
        <v>44</v>
      </c>
      <c r="H56" s="434"/>
      <c r="I56" s="416">
        <f>201.1</f>
        <v>201.1</v>
      </c>
      <c r="J56" s="403"/>
      <c r="K56" s="415"/>
      <c r="L56" s="417">
        <f t="shared" si="14"/>
        <v>201.1</v>
      </c>
      <c r="M56" s="1015">
        <f>SUM(I56:I60)</f>
        <v>1433</v>
      </c>
      <c r="N56" s="418">
        <v>60000</v>
      </c>
      <c r="O56" s="418">
        <f t="shared" si="7"/>
        <v>12066000</v>
      </c>
      <c r="P56" s="417" t="s">
        <v>30</v>
      </c>
      <c r="Q56" s="417">
        <f>L56-5</f>
        <v>196.1</v>
      </c>
      <c r="R56" s="417" t="s">
        <v>243</v>
      </c>
      <c r="S56" s="418">
        <v>9500</v>
      </c>
      <c r="T56" s="360">
        <f t="shared" si="9"/>
        <v>1862950</v>
      </c>
      <c r="U56" s="494">
        <v>1</v>
      </c>
      <c r="V56" s="418">
        <f t="shared" si="10"/>
        <v>2011000</v>
      </c>
      <c r="W56" s="418">
        <f t="shared" si="11"/>
        <v>36198000</v>
      </c>
      <c r="X56" s="407">
        <f t="shared" si="5"/>
        <v>8</v>
      </c>
      <c r="Y56" s="408">
        <f t="shared" si="6"/>
        <v>28000000</v>
      </c>
      <c r="Z56" s="409">
        <f t="shared" si="12"/>
        <v>80137950</v>
      </c>
      <c r="AA56" s="410">
        <f t="shared" si="13"/>
        <v>80137950</v>
      </c>
      <c r="AB56" s="401"/>
      <c r="AC56" s="411"/>
      <c r="AD56" s="411"/>
      <c r="AE56" s="411"/>
      <c r="AF56" s="411"/>
      <c r="AG56" s="411"/>
      <c r="AH56" s="411" t="s">
        <v>254</v>
      </c>
      <c r="AI56" s="411"/>
      <c r="AJ56" s="411"/>
      <c r="AK56" s="411"/>
      <c r="AL56" s="411"/>
      <c r="AM56" s="411"/>
      <c r="AN56" s="411"/>
    </row>
    <row r="57" spans="1:40" s="405" customFormat="1" ht="68.25" customHeight="1">
      <c r="A57" s="401">
        <v>16</v>
      </c>
      <c r="B57" s="402" t="s">
        <v>225</v>
      </c>
      <c r="C57" s="401">
        <v>223</v>
      </c>
      <c r="D57" s="401">
        <v>72</v>
      </c>
      <c r="E57" s="401">
        <v>322</v>
      </c>
      <c r="F57" s="401" t="s">
        <v>0</v>
      </c>
      <c r="G57" s="438" t="s">
        <v>44</v>
      </c>
      <c r="H57" s="434"/>
      <c r="I57" s="416">
        <v>322</v>
      </c>
      <c r="J57" s="403"/>
      <c r="K57" s="415"/>
      <c r="L57" s="417">
        <f t="shared" si="14"/>
        <v>322</v>
      </c>
      <c r="M57" s="1017"/>
      <c r="N57" s="418">
        <v>60000</v>
      </c>
      <c r="O57" s="418">
        <f t="shared" si="7"/>
        <v>19320000</v>
      </c>
      <c r="P57" s="417" t="s">
        <v>30</v>
      </c>
      <c r="Q57" s="417">
        <f t="shared" si="8"/>
        <v>322</v>
      </c>
      <c r="R57" s="417" t="s">
        <v>243</v>
      </c>
      <c r="S57" s="418">
        <v>9500</v>
      </c>
      <c r="T57" s="360">
        <f t="shared" si="9"/>
        <v>3059000</v>
      </c>
      <c r="U57" s="494">
        <v>1</v>
      </c>
      <c r="V57" s="418">
        <f t="shared" si="10"/>
        <v>3220000</v>
      </c>
      <c r="W57" s="418">
        <f t="shared" si="11"/>
        <v>57960000</v>
      </c>
      <c r="X57" s="407">
        <f t="shared" si="5"/>
        <v>0</v>
      </c>
      <c r="Y57" s="408">
        <f t="shared" si="6"/>
        <v>0</v>
      </c>
      <c r="Z57" s="409">
        <f t="shared" si="12"/>
        <v>83559000</v>
      </c>
      <c r="AA57" s="410">
        <f t="shared" si="13"/>
        <v>83559000</v>
      </c>
      <c r="AB57" s="40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1"/>
      <c r="AN57" s="411"/>
    </row>
    <row r="58" spans="1:40" s="405" customFormat="1" ht="68.25" customHeight="1">
      <c r="A58" s="414">
        <v>16</v>
      </c>
      <c r="B58" s="402" t="s">
        <v>225</v>
      </c>
      <c r="C58" s="414">
        <v>222</v>
      </c>
      <c r="D58" s="414">
        <v>72</v>
      </c>
      <c r="E58" s="404">
        <v>273.5</v>
      </c>
      <c r="F58" s="401" t="s">
        <v>0</v>
      </c>
      <c r="G58" s="438" t="s">
        <v>44</v>
      </c>
      <c r="H58" s="434"/>
      <c r="I58" s="416">
        <v>34.7</v>
      </c>
      <c r="J58" s="403"/>
      <c r="K58" s="415"/>
      <c r="L58" s="417">
        <f t="shared" si="14"/>
        <v>34.7</v>
      </c>
      <c r="M58" s="1017"/>
      <c r="N58" s="418">
        <v>60000</v>
      </c>
      <c r="O58" s="418">
        <f t="shared" si="7"/>
        <v>2082000.0000000002</v>
      </c>
      <c r="P58" s="417" t="s">
        <v>30</v>
      </c>
      <c r="Q58" s="417">
        <f t="shared" si="8"/>
        <v>34.7</v>
      </c>
      <c r="R58" s="417" t="s">
        <v>243</v>
      </c>
      <c r="S58" s="418">
        <v>9500</v>
      </c>
      <c r="T58" s="360">
        <f t="shared" si="9"/>
        <v>329650</v>
      </c>
      <c r="U58" s="494">
        <v>1</v>
      </c>
      <c r="V58" s="418">
        <f t="shared" si="10"/>
        <v>347000</v>
      </c>
      <c r="W58" s="418">
        <f t="shared" si="11"/>
        <v>6246000.000000001</v>
      </c>
      <c r="X58" s="407">
        <f t="shared" si="5"/>
        <v>0</v>
      </c>
      <c r="Y58" s="408">
        <f t="shared" si="6"/>
        <v>0</v>
      </c>
      <c r="Z58" s="409">
        <f t="shared" si="12"/>
        <v>9004650</v>
      </c>
      <c r="AA58" s="410">
        <f t="shared" si="13"/>
        <v>9004650</v>
      </c>
      <c r="AB58" s="40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</row>
    <row r="59" spans="1:40" s="405" customFormat="1" ht="68.25" customHeight="1">
      <c r="A59" s="401">
        <v>16</v>
      </c>
      <c r="B59" s="402" t="s">
        <v>225</v>
      </c>
      <c r="C59" s="401">
        <v>37</v>
      </c>
      <c r="D59" s="401">
        <v>81</v>
      </c>
      <c r="E59" s="401">
        <v>779.2</v>
      </c>
      <c r="F59" s="401" t="s">
        <v>0</v>
      </c>
      <c r="G59" s="438" t="s">
        <v>37</v>
      </c>
      <c r="H59" s="434"/>
      <c r="I59" s="416">
        <v>779.2</v>
      </c>
      <c r="J59" s="403"/>
      <c r="K59" s="415"/>
      <c r="L59" s="417">
        <f t="shared" si="14"/>
        <v>779.2</v>
      </c>
      <c r="M59" s="1017"/>
      <c r="N59" s="418">
        <v>60000</v>
      </c>
      <c r="O59" s="418">
        <f t="shared" si="7"/>
        <v>46752000</v>
      </c>
      <c r="P59" s="417" t="s">
        <v>30</v>
      </c>
      <c r="Q59" s="417">
        <f t="shared" si="8"/>
        <v>779.2</v>
      </c>
      <c r="R59" s="417" t="s">
        <v>243</v>
      </c>
      <c r="S59" s="418">
        <v>9500</v>
      </c>
      <c r="T59" s="360">
        <f t="shared" si="9"/>
        <v>7402400</v>
      </c>
      <c r="U59" s="494">
        <v>1</v>
      </c>
      <c r="V59" s="418">
        <f t="shared" si="10"/>
        <v>7792000</v>
      </c>
      <c r="W59" s="418">
        <f t="shared" si="11"/>
        <v>140256000</v>
      </c>
      <c r="X59" s="407">
        <f t="shared" si="5"/>
        <v>0</v>
      </c>
      <c r="Y59" s="408">
        <f t="shared" si="6"/>
        <v>0</v>
      </c>
      <c r="Z59" s="409">
        <f t="shared" si="12"/>
        <v>202202400</v>
      </c>
      <c r="AA59" s="410">
        <f t="shared" si="13"/>
        <v>202202400</v>
      </c>
      <c r="AB59" s="401"/>
      <c r="AC59" s="411"/>
      <c r="AD59" s="411"/>
      <c r="AE59" s="411"/>
      <c r="AF59" s="411"/>
      <c r="AG59" s="411"/>
      <c r="AH59" s="411"/>
      <c r="AI59" s="411"/>
      <c r="AJ59" s="411"/>
      <c r="AK59" s="411"/>
      <c r="AL59" s="411"/>
      <c r="AM59" s="411"/>
      <c r="AN59" s="411"/>
    </row>
    <row r="60" spans="1:40" s="405" customFormat="1" ht="68.25" customHeight="1">
      <c r="A60" s="401">
        <v>16</v>
      </c>
      <c r="B60" s="441" t="s">
        <v>225</v>
      </c>
      <c r="C60" s="401">
        <v>59</v>
      </c>
      <c r="D60" s="401">
        <v>72</v>
      </c>
      <c r="E60" s="401">
        <v>123.1</v>
      </c>
      <c r="F60" s="437" t="s">
        <v>45</v>
      </c>
      <c r="G60" s="438" t="s">
        <v>44</v>
      </c>
      <c r="H60" s="434"/>
      <c r="I60" s="416">
        <v>96</v>
      </c>
      <c r="J60" s="403"/>
      <c r="K60" s="415"/>
      <c r="L60" s="417">
        <f t="shared" si="14"/>
        <v>96</v>
      </c>
      <c r="M60" s="1016"/>
      <c r="N60" s="418">
        <v>60000</v>
      </c>
      <c r="O60" s="418">
        <f>L60*N60</f>
        <v>5760000</v>
      </c>
      <c r="P60" s="417" t="s">
        <v>30</v>
      </c>
      <c r="Q60" s="417">
        <f>L60</f>
        <v>96</v>
      </c>
      <c r="R60" s="417" t="s">
        <v>243</v>
      </c>
      <c r="S60" s="418">
        <v>9500</v>
      </c>
      <c r="T60" s="360">
        <f t="shared" si="9"/>
        <v>912000</v>
      </c>
      <c r="U60" s="494">
        <v>1</v>
      </c>
      <c r="V60" s="418">
        <f>L60*10000</f>
        <v>960000</v>
      </c>
      <c r="W60" s="418">
        <f>L60*N60*3</f>
        <v>17280000</v>
      </c>
      <c r="X60" s="407">
        <f t="shared" si="5"/>
        <v>0</v>
      </c>
      <c r="Y60" s="408">
        <f>X60*3500000</f>
        <v>0</v>
      </c>
      <c r="Z60" s="409">
        <f>O60+T60+V60+W60+Y60</f>
        <v>24912000</v>
      </c>
      <c r="AA60" s="410">
        <f>Z60</f>
        <v>24912000</v>
      </c>
      <c r="AB60" s="401" t="s">
        <v>71</v>
      </c>
      <c r="AC60" s="411"/>
      <c r="AD60" s="411"/>
      <c r="AE60" s="411"/>
      <c r="AF60" s="411"/>
      <c r="AG60" s="411"/>
      <c r="AH60" s="411"/>
      <c r="AI60" s="411"/>
      <c r="AJ60" s="411"/>
      <c r="AK60" s="411"/>
      <c r="AL60" s="411"/>
      <c r="AM60" s="411"/>
      <c r="AN60" s="411"/>
    </row>
    <row r="61" spans="1:40" s="368" customFormat="1" ht="68.25" customHeight="1">
      <c r="A61" s="350">
        <v>17</v>
      </c>
      <c r="B61" s="378" t="s">
        <v>226</v>
      </c>
      <c r="C61" s="350">
        <v>50</v>
      </c>
      <c r="D61" s="350">
        <v>81</v>
      </c>
      <c r="E61" s="350">
        <v>1913.8</v>
      </c>
      <c r="F61" s="350" t="s">
        <v>0</v>
      </c>
      <c r="G61" s="357" t="s">
        <v>37</v>
      </c>
      <c r="H61" s="367">
        <v>948.3</v>
      </c>
      <c r="I61" s="367">
        <v>8.600000000000023</v>
      </c>
      <c r="J61" s="356"/>
      <c r="K61" s="357"/>
      <c r="L61" s="389">
        <f t="shared" si="14"/>
        <v>956.9</v>
      </c>
      <c r="M61" s="419">
        <f>L61</f>
        <v>956.9</v>
      </c>
      <c r="N61" s="390">
        <v>60000</v>
      </c>
      <c r="O61" s="390">
        <f t="shared" si="7"/>
        <v>57414000</v>
      </c>
      <c r="P61" s="389" t="s">
        <v>30</v>
      </c>
      <c r="Q61" s="389">
        <f t="shared" si="8"/>
        <v>956.9</v>
      </c>
      <c r="R61" s="389" t="s">
        <v>243</v>
      </c>
      <c r="S61" s="390">
        <v>9500</v>
      </c>
      <c r="T61" s="360">
        <f t="shared" si="9"/>
        <v>9090550</v>
      </c>
      <c r="U61" s="494">
        <v>1</v>
      </c>
      <c r="V61" s="390">
        <f t="shared" si="10"/>
        <v>9569000</v>
      </c>
      <c r="W61" s="390">
        <f t="shared" si="11"/>
        <v>172242000</v>
      </c>
      <c r="X61" s="360">
        <f t="shared" si="5"/>
        <v>5</v>
      </c>
      <c r="Y61" s="361">
        <f t="shared" si="6"/>
        <v>17500000</v>
      </c>
      <c r="Z61" s="362">
        <f t="shared" si="12"/>
        <v>265815550</v>
      </c>
      <c r="AA61" s="363">
        <f t="shared" si="13"/>
        <v>265815550</v>
      </c>
      <c r="AB61" s="350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</row>
    <row r="62" spans="1:40" s="368" customFormat="1" ht="68.25" customHeight="1">
      <c r="A62" s="350">
        <v>18</v>
      </c>
      <c r="B62" s="378" t="s">
        <v>227</v>
      </c>
      <c r="C62" s="350">
        <v>50</v>
      </c>
      <c r="D62" s="350">
        <v>81</v>
      </c>
      <c r="E62" s="350">
        <v>1913.8</v>
      </c>
      <c r="F62" s="350" t="s">
        <v>0</v>
      </c>
      <c r="G62" s="394" t="s">
        <v>37</v>
      </c>
      <c r="H62" s="393"/>
      <c r="I62" s="394">
        <v>956.9</v>
      </c>
      <c r="J62" s="356"/>
      <c r="K62" s="357"/>
      <c r="L62" s="389">
        <f t="shared" si="14"/>
        <v>956.9</v>
      </c>
      <c r="M62" s="886">
        <f>SUM(L62:L66)</f>
        <v>1869.6000000000001</v>
      </c>
      <c r="N62" s="390">
        <v>60000</v>
      </c>
      <c r="O62" s="390">
        <f t="shared" si="7"/>
        <v>57414000</v>
      </c>
      <c r="P62" s="389" t="s">
        <v>30</v>
      </c>
      <c r="Q62" s="389">
        <f t="shared" si="8"/>
        <v>956.9</v>
      </c>
      <c r="R62" s="389" t="s">
        <v>243</v>
      </c>
      <c r="S62" s="390">
        <v>9500</v>
      </c>
      <c r="T62" s="360">
        <f t="shared" si="9"/>
        <v>9090550</v>
      </c>
      <c r="U62" s="494">
        <v>1</v>
      </c>
      <c r="V62" s="390">
        <f t="shared" si="10"/>
        <v>9569000</v>
      </c>
      <c r="W62" s="390">
        <f t="shared" si="11"/>
        <v>172242000</v>
      </c>
      <c r="X62" s="360">
        <f t="shared" si="5"/>
        <v>10</v>
      </c>
      <c r="Y62" s="361">
        <f t="shared" si="6"/>
        <v>35000000</v>
      </c>
      <c r="Z62" s="362">
        <f t="shared" si="12"/>
        <v>283315550</v>
      </c>
      <c r="AA62" s="363">
        <f t="shared" si="13"/>
        <v>283315550</v>
      </c>
      <c r="AB62" s="350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  <c r="AN62" s="365"/>
    </row>
    <row r="63" spans="1:40" s="405" customFormat="1" ht="68.25" customHeight="1">
      <c r="A63" s="401">
        <v>19</v>
      </c>
      <c r="B63" s="402" t="s">
        <v>227</v>
      </c>
      <c r="C63" s="401">
        <v>211</v>
      </c>
      <c r="D63" s="401">
        <v>72</v>
      </c>
      <c r="E63" s="460">
        <v>255</v>
      </c>
      <c r="F63" s="401" t="s">
        <v>45</v>
      </c>
      <c r="G63" s="438" t="s">
        <v>32</v>
      </c>
      <c r="H63" s="434"/>
      <c r="I63" s="426">
        <v>255</v>
      </c>
      <c r="J63" s="356"/>
      <c r="K63" s="415"/>
      <c r="L63" s="417">
        <f t="shared" si="14"/>
        <v>255</v>
      </c>
      <c r="M63" s="887"/>
      <c r="N63" s="418">
        <v>60000</v>
      </c>
      <c r="O63" s="418">
        <f t="shared" si="7"/>
        <v>15300000</v>
      </c>
      <c r="P63" s="417" t="s">
        <v>265</v>
      </c>
      <c r="Q63" s="417">
        <f t="shared" si="8"/>
        <v>255</v>
      </c>
      <c r="R63" s="417" t="s">
        <v>243</v>
      </c>
      <c r="S63" s="418">
        <v>33800</v>
      </c>
      <c r="T63" s="360">
        <f t="shared" si="9"/>
        <v>8619000</v>
      </c>
      <c r="U63" s="494">
        <v>1</v>
      </c>
      <c r="V63" s="418">
        <f t="shared" si="10"/>
        <v>2550000</v>
      </c>
      <c r="W63" s="418">
        <f t="shared" si="11"/>
        <v>45900000</v>
      </c>
      <c r="X63" s="407">
        <f t="shared" si="5"/>
        <v>0</v>
      </c>
      <c r="Y63" s="408">
        <f t="shared" si="6"/>
        <v>0</v>
      </c>
      <c r="Z63" s="409">
        <f t="shared" si="12"/>
        <v>72369000</v>
      </c>
      <c r="AA63" s="410">
        <f t="shared" si="13"/>
        <v>72369000</v>
      </c>
      <c r="AB63" s="40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M63" s="411"/>
      <c r="AN63" s="411"/>
    </row>
    <row r="64" spans="1:40" s="368" customFormat="1" ht="68.25" customHeight="1">
      <c r="A64" s="350">
        <v>20</v>
      </c>
      <c r="B64" s="378" t="s">
        <v>227</v>
      </c>
      <c r="C64" s="350">
        <v>259</v>
      </c>
      <c r="D64" s="350">
        <v>72</v>
      </c>
      <c r="E64" s="350">
        <v>269.9</v>
      </c>
      <c r="F64" s="350" t="s">
        <v>0</v>
      </c>
      <c r="G64" s="394" t="s">
        <v>44</v>
      </c>
      <c r="H64" s="394"/>
      <c r="I64" s="394">
        <v>269.9</v>
      </c>
      <c r="J64" s="356"/>
      <c r="K64" s="357"/>
      <c r="L64" s="389">
        <f t="shared" si="14"/>
        <v>269.9</v>
      </c>
      <c r="M64" s="887"/>
      <c r="N64" s="390">
        <v>60000</v>
      </c>
      <c r="O64" s="390">
        <f t="shared" si="7"/>
        <v>16193999.999999998</v>
      </c>
      <c r="P64" s="389" t="s">
        <v>30</v>
      </c>
      <c r="Q64" s="389">
        <f t="shared" si="8"/>
        <v>269.9</v>
      </c>
      <c r="R64" s="389" t="s">
        <v>243</v>
      </c>
      <c r="S64" s="390">
        <v>9500</v>
      </c>
      <c r="T64" s="360">
        <f t="shared" si="9"/>
        <v>2564050</v>
      </c>
      <c r="U64" s="494">
        <v>1</v>
      </c>
      <c r="V64" s="390">
        <f t="shared" si="10"/>
        <v>2699000</v>
      </c>
      <c r="W64" s="390">
        <f t="shared" si="11"/>
        <v>48581999.99999999</v>
      </c>
      <c r="X64" s="360">
        <f t="shared" si="5"/>
        <v>0</v>
      </c>
      <c r="Y64" s="361">
        <f t="shared" si="6"/>
        <v>0</v>
      </c>
      <c r="Z64" s="362">
        <f t="shared" si="12"/>
        <v>70039050</v>
      </c>
      <c r="AA64" s="363">
        <f t="shared" si="13"/>
        <v>70039050</v>
      </c>
      <c r="AB64" s="350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</row>
    <row r="65" spans="1:40" s="368" customFormat="1" ht="68.25" customHeight="1">
      <c r="A65" s="347">
        <v>20</v>
      </c>
      <c r="B65" s="378" t="s">
        <v>227</v>
      </c>
      <c r="C65" s="347">
        <v>222</v>
      </c>
      <c r="D65" s="347">
        <v>72</v>
      </c>
      <c r="E65" s="348">
        <v>273.5</v>
      </c>
      <c r="F65" s="347" t="s">
        <v>45</v>
      </c>
      <c r="G65" s="394" t="s">
        <v>44</v>
      </c>
      <c r="H65" s="393"/>
      <c r="I65" s="387">
        <v>14</v>
      </c>
      <c r="J65" s="356"/>
      <c r="K65" s="357"/>
      <c r="L65" s="389">
        <f t="shared" si="14"/>
        <v>14</v>
      </c>
      <c r="M65" s="887"/>
      <c r="N65" s="390">
        <v>60000</v>
      </c>
      <c r="O65" s="390">
        <f t="shared" si="7"/>
        <v>840000</v>
      </c>
      <c r="P65" s="389" t="s">
        <v>30</v>
      </c>
      <c r="Q65" s="389">
        <f t="shared" si="8"/>
        <v>14</v>
      </c>
      <c r="R65" s="389" t="s">
        <v>243</v>
      </c>
      <c r="S65" s="390">
        <v>9500</v>
      </c>
      <c r="T65" s="360">
        <f t="shared" si="9"/>
        <v>133000</v>
      </c>
      <c r="U65" s="494">
        <v>1</v>
      </c>
      <c r="V65" s="390">
        <f t="shared" si="10"/>
        <v>140000</v>
      </c>
      <c r="W65" s="390">
        <f t="shared" si="11"/>
        <v>2520000</v>
      </c>
      <c r="X65" s="360">
        <f t="shared" si="5"/>
        <v>0</v>
      </c>
      <c r="Y65" s="361">
        <f t="shared" si="6"/>
        <v>0</v>
      </c>
      <c r="Z65" s="362">
        <f t="shared" si="12"/>
        <v>3633000</v>
      </c>
      <c r="AA65" s="363">
        <f t="shared" si="13"/>
        <v>3633000</v>
      </c>
      <c r="AB65" s="350" t="s">
        <v>244</v>
      </c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</row>
    <row r="66" spans="1:40" s="405" customFormat="1" ht="98.25" customHeight="1">
      <c r="A66" s="401">
        <v>20</v>
      </c>
      <c r="B66" s="402" t="s">
        <v>227</v>
      </c>
      <c r="C66" s="401">
        <v>262</v>
      </c>
      <c r="D66" s="401">
        <v>72</v>
      </c>
      <c r="E66" s="401">
        <v>373.8</v>
      </c>
      <c r="F66" s="401" t="s">
        <v>45</v>
      </c>
      <c r="G66" s="401" t="s">
        <v>44</v>
      </c>
      <c r="H66" s="434"/>
      <c r="I66" s="416">
        <v>373.8</v>
      </c>
      <c r="J66" s="356"/>
      <c r="K66" s="415"/>
      <c r="L66" s="417">
        <f t="shared" si="14"/>
        <v>373.8</v>
      </c>
      <c r="M66" s="1016"/>
      <c r="N66" s="418">
        <v>60000</v>
      </c>
      <c r="O66" s="418">
        <f>L66*N66</f>
        <v>22428000</v>
      </c>
      <c r="P66" s="469" t="s">
        <v>267</v>
      </c>
      <c r="Q66" s="417">
        <v>72</v>
      </c>
      <c r="R66" s="417" t="s">
        <v>268</v>
      </c>
      <c r="S66" s="418">
        <v>163000</v>
      </c>
      <c r="T66" s="360">
        <f t="shared" si="9"/>
        <v>9388800</v>
      </c>
      <c r="U66" s="494">
        <v>0.8</v>
      </c>
      <c r="V66" s="418">
        <f>L66*10000</f>
        <v>3738000</v>
      </c>
      <c r="W66" s="418">
        <f>L66*N66*3</f>
        <v>67284000</v>
      </c>
      <c r="X66" s="407">
        <f t="shared" si="5"/>
        <v>0</v>
      </c>
      <c r="Y66" s="408">
        <f>X66*3500000</f>
        <v>0</v>
      </c>
      <c r="Z66" s="409">
        <f>O66+T66+V66+W66+Y66</f>
        <v>102838800</v>
      </c>
      <c r="AA66" s="410">
        <f>Z66</f>
        <v>102838800</v>
      </c>
      <c r="AB66" s="401" t="s">
        <v>269</v>
      </c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  <c r="AN66" s="411"/>
    </row>
    <row r="67" spans="1:40" s="368" customFormat="1" ht="68.25" customHeight="1">
      <c r="A67" s="350">
        <v>21</v>
      </c>
      <c r="B67" s="378" t="s">
        <v>228</v>
      </c>
      <c r="C67" s="350">
        <v>48</v>
      </c>
      <c r="D67" s="350">
        <v>72</v>
      </c>
      <c r="E67" s="350">
        <v>197.1</v>
      </c>
      <c r="F67" s="350" t="s">
        <v>0</v>
      </c>
      <c r="G67" s="357" t="s">
        <v>43</v>
      </c>
      <c r="H67" s="394">
        <v>197.1</v>
      </c>
      <c r="I67" s="394"/>
      <c r="J67" s="356"/>
      <c r="K67" s="357"/>
      <c r="L67" s="389">
        <f t="shared" si="14"/>
        <v>197.1</v>
      </c>
      <c r="M67" s="419">
        <f aca="true" t="shared" si="15" ref="M67:M74">L67</f>
        <v>197.1</v>
      </c>
      <c r="N67" s="390">
        <v>60000</v>
      </c>
      <c r="O67" s="390">
        <f t="shared" si="7"/>
        <v>11826000</v>
      </c>
      <c r="P67" s="389" t="s">
        <v>30</v>
      </c>
      <c r="Q67" s="389">
        <f t="shared" si="8"/>
        <v>197.1</v>
      </c>
      <c r="R67" s="389" t="s">
        <v>243</v>
      </c>
      <c r="S67" s="390">
        <v>9500</v>
      </c>
      <c r="T67" s="360">
        <f t="shared" si="9"/>
        <v>1872450</v>
      </c>
      <c r="U67" s="494">
        <v>1</v>
      </c>
      <c r="V67" s="390">
        <f t="shared" si="10"/>
        <v>1971000</v>
      </c>
      <c r="W67" s="390">
        <f t="shared" si="11"/>
        <v>35478000</v>
      </c>
      <c r="X67" s="360">
        <f t="shared" si="5"/>
        <v>1</v>
      </c>
      <c r="Y67" s="361">
        <f t="shared" si="6"/>
        <v>3500000</v>
      </c>
      <c r="Z67" s="362">
        <f t="shared" si="12"/>
        <v>54647450</v>
      </c>
      <c r="AA67" s="363">
        <f t="shared" si="13"/>
        <v>54647450</v>
      </c>
      <c r="AB67" s="350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5"/>
      <c r="AN67" s="365"/>
    </row>
    <row r="68" spans="1:40" s="368" customFormat="1" ht="68.25" customHeight="1">
      <c r="A68" s="350">
        <v>22</v>
      </c>
      <c r="B68" s="378" t="s">
        <v>229</v>
      </c>
      <c r="C68" s="350">
        <v>82</v>
      </c>
      <c r="D68" s="350">
        <v>80</v>
      </c>
      <c r="E68" s="350">
        <v>149.7</v>
      </c>
      <c r="F68" s="350" t="s">
        <v>0</v>
      </c>
      <c r="G68" s="357" t="s">
        <v>32</v>
      </c>
      <c r="H68" s="394">
        <v>149.7</v>
      </c>
      <c r="I68" s="394"/>
      <c r="J68" s="356"/>
      <c r="K68" s="357"/>
      <c r="L68" s="389">
        <f t="shared" si="14"/>
        <v>149.7</v>
      </c>
      <c r="M68" s="419">
        <f t="shared" si="15"/>
        <v>149.7</v>
      </c>
      <c r="N68" s="390">
        <v>60000</v>
      </c>
      <c r="O68" s="390">
        <f t="shared" si="7"/>
        <v>8982000</v>
      </c>
      <c r="P68" s="389" t="s">
        <v>30</v>
      </c>
      <c r="Q68" s="389">
        <f t="shared" si="8"/>
        <v>149.7</v>
      </c>
      <c r="R68" s="389" t="s">
        <v>243</v>
      </c>
      <c r="S68" s="390">
        <v>9500</v>
      </c>
      <c r="T68" s="360">
        <f t="shared" si="9"/>
        <v>1422150</v>
      </c>
      <c r="U68" s="494">
        <v>1</v>
      </c>
      <c r="V68" s="390">
        <f t="shared" si="10"/>
        <v>1497000</v>
      </c>
      <c r="W68" s="390">
        <f t="shared" si="11"/>
        <v>26946000</v>
      </c>
      <c r="X68" s="360">
        <f t="shared" si="5"/>
        <v>0</v>
      </c>
      <c r="Y68" s="361">
        <f t="shared" si="6"/>
        <v>0</v>
      </c>
      <c r="Z68" s="362">
        <f t="shared" si="12"/>
        <v>38847150</v>
      </c>
      <c r="AA68" s="363">
        <f t="shared" si="13"/>
        <v>38847150</v>
      </c>
      <c r="AB68" s="350"/>
      <c r="AC68" s="365"/>
      <c r="AD68" s="365"/>
      <c r="AE68" s="365"/>
      <c r="AF68" s="365"/>
      <c r="AG68" s="365"/>
      <c r="AH68" s="365"/>
      <c r="AI68" s="365"/>
      <c r="AJ68" s="365"/>
      <c r="AK68" s="365"/>
      <c r="AL68" s="365"/>
      <c r="AM68" s="365"/>
      <c r="AN68" s="365"/>
    </row>
    <row r="69" spans="1:40" s="405" customFormat="1" ht="68.25" customHeight="1">
      <c r="A69" s="401">
        <v>23</v>
      </c>
      <c r="B69" s="468" t="s">
        <v>231</v>
      </c>
      <c r="C69" s="401">
        <v>254</v>
      </c>
      <c r="D69" s="401">
        <v>72</v>
      </c>
      <c r="E69" s="401">
        <v>233.9</v>
      </c>
      <c r="F69" s="401" t="s">
        <v>45</v>
      </c>
      <c r="G69" s="415" t="s">
        <v>44</v>
      </c>
      <c r="H69" s="434"/>
      <c r="I69" s="438">
        <v>16.5</v>
      </c>
      <c r="J69" s="356"/>
      <c r="K69" s="415"/>
      <c r="L69" s="417">
        <f t="shared" si="14"/>
        <v>16.5</v>
      </c>
      <c r="M69" s="421">
        <f t="shared" si="15"/>
        <v>16.5</v>
      </c>
      <c r="N69" s="418">
        <v>60000</v>
      </c>
      <c r="O69" s="418">
        <f t="shared" si="7"/>
        <v>990000</v>
      </c>
      <c r="P69" s="417" t="s">
        <v>30</v>
      </c>
      <c r="Q69" s="417">
        <v>11.5</v>
      </c>
      <c r="R69" s="417" t="s">
        <v>243</v>
      </c>
      <c r="S69" s="418">
        <v>9500</v>
      </c>
      <c r="T69" s="360">
        <f t="shared" si="9"/>
        <v>109250</v>
      </c>
      <c r="U69" s="494">
        <v>1</v>
      </c>
      <c r="V69" s="418">
        <f t="shared" si="10"/>
        <v>165000</v>
      </c>
      <c r="W69" s="418">
        <f t="shared" si="11"/>
        <v>2970000</v>
      </c>
      <c r="X69" s="407">
        <f t="shared" si="5"/>
        <v>0</v>
      </c>
      <c r="Y69" s="408">
        <f t="shared" si="6"/>
        <v>0</v>
      </c>
      <c r="Z69" s="409">
        <f t="shared" si="12"/>
        <v>4234250</v>
      </c>
      <c r="AA69" s="410">
        <f t="shared" si="13"/>
        <v>4234250</v>
      </c>
      <c r="AB69" s="401"/>
      <c r="AC69" s="411"/>
      <c r="AD69" s="411"/>
      <c r="AE69" s="411"/>
      <c r="AF69" s="411"/>
      <c r="AG69" s="411"/>
      <c r="AH69" s="411" t="s">
        <v>255</v>
      </c>
      <c r="AI69" s="411"/>
      <c r="AJ69" s="411" t="s">
        <v>256</v>
      </c>
      <c r="AK69" s="411"/>
      <c r="AL69" s="411"/>
      <c r="AM69" s="411"/>
      <c r="AN69" s="411"/>
    </row>
    <row r="70" spans="1:40" s="457" customFormat="1" ht="68.25" customHeight="1">
      <c r="A70" s="444">
        <v>24</v>
      </c>
      <c r="B70" s="466" t="s">
        <v>232</v>
      </c>
      <c r="C70" s="444">
        <v>213</v>
      </c>
      <c r="D70" s="444">
        <v>72</v>
      </c>
      <c r="E70" s="444">
        <v>328.1</v>
      </c>
      <c r="F70" s="444" t="s">
        <v>45</v>
      </c>
      <c r="G70" s="447" t="s">
        <v>44</v>
      </c>
      <c r="H70" s="459">
        <v>217.4</v>
      </c>
      <c r="I70" s="459"/>
      <c r="J70" s="356"/>
      <c r="K70" s="357"/>
      <c r="L70" s="449">
        <f t="shared" si="14"/>
        <v>217.4</v>
      </c>
      <c r="M70" s="450">
        <f t="shared" si="15"/>
        <v>217.4</v>
      </c>
      <c r="N70" s="451">
        <v>60000</v>
      </c>
      <c r="O70" s="451">
        <f>L70*N70</f>
        <v>13044000</v>
      </c>
      <c r="P70" s="449" t="s">
        <v>30</v>
      </c>
      <c r="Q70" s="467">
        <f>L70</f>
        <v>217.4</v>
      </c>
      <c r="R70" s="449" t="s">
        <v>243</v>
      </c>
      <c r="S70" s="451">
        <v>9500</v>
      </c>
      <c r="T70" s="360">
        <f t="shared" si="9"/>
        <v>2065300</v>
      </c>
      <c r="U70" s="494">
        <v>1</v>
      </c>
      <c r="V70" s="451">
        <f aca="true" t="shared" si="16" ref="V70:V76">L70*10000</f>
        <v>2174000</v>
      </c>
      <c r="W70" s="451">
        <f aca="true" t="shared" si="17" ref="W70:W76">L70*N70*3</f>
        <v>39132000</v>
      </c>
      <c r="X70" s="452">
        <f t="shared" si="5"/>
        <v>1</v>
      </c>
      <c r="Y70" s="453">
        <f t="shared" si="6"/>
        <v>3500000</v>
      </c>
      <c r="Z70" s="454">
        <f t="shared" si="12"/>
        <v>59915300</v>
      </c>
      <c r="AA70" s="455">
        <f t="shared" si="13"/>
        <v>59915300</v>
      </c>
      <c r="AB70" s="444" t="s">
        <v>244</v>
      </c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</row>
    <row r="71" spans="1:40" s="405" customFormat="1" ht="75" customHeight="1">
      <c r="A71" s="401">
        <v>25</v>
      </c>
      <c r="B71" s="468" t="s">
        <v>275</v>
      </c>
      <c r="C71" s="401">
        <v>254</v>
      </c>
      <c r="D71" s="401">
        <v>72</v>
      </c>
      <c r="E71" s="401">
        <v>233.9</v>
      </c>
      <c r="F71" s="401" t="s">
        <v>45</v>
      </c>
      <c r="G71" s="461" t="s">
        <v>44</v>
      </c>
      <c r="H71" s="460">
        <v>181.8</v>
      </c>
      <c r="I71" s="460">
        <v>30.599999999999994</v>
      </c>
      <c r="J71" s="356"/>
      <c r="K71" s="415"/>
      <c r="L71" s="406">
        <f t="shared" si="14"/>
        <v>212.4</v>
      </c>
      <c r="M71" s="420">
        <f t="shared" si="15"/>
        <v>212.4</v>
      </c>
      <c r="N71" s="407">
        <v>60000</v>
      </c>
      <c r="O71" s="407">
        <f>L71*N71</f>
        <v>12744000</v>
      </c>
      <c r="P71" s="406" t="s">
        <v>277</v>
      </c>
      <c r="Q71" s="406">
        <v>209.9</v>
      </c>
      <c r="R71" s="406" t="s">
        <v>276</v>
      </c>
      <c r="S71" s="407">
        <v>31000</v>
      </c>
      <c r="T71" s="360">
        <f t="shared" si="9"/>
        <v>6506900</v>
      </c>
      <c r="U71" s="494">
        <v>1</v>
      </c>
      <c r="V71" s="407">
        <f t="shared" si="16"/>
        <v>2124000</v>
      </c>
      <c r="W71" s="407">
        <f t="shared" si="17"/>
        <v>38232000</v>
      </c>
      <c r="X71" s="407">
        <f t="shared" si="5"/>
        <v>1</v>
      </c>
      <c r="Y71" s="408">
        <f t="shared" si="6"/>
        <v>3500000</v>
      </c>
      <c r="Z71" s="409">
        <f t="shared" si="12"/>
        <v>63106900</v>
      </c>
      <c r="AA71" s="410">
        <f t="shared" si="13"/>
        <v>63106900</v>
      </c>
      <c r="AB71" s="40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</row>
    <row r="72" spans="1:40" s="368" customFormat="1" ht="68.25" customHeight="1">
      <c r="A72" s="350">
        <v>26</v>
      </c>
      <c r="B72" s="381" t="s">
        <v>233</v>
      </c>
      <c r="C72" s="350">
        <v>81</v>
      </c>
      <c r="D72" s="350">
        <v>82</v>
      </c>
      <c r="E72" s="350">
        <v>356.3</v>
      </c>
      <c r="F72" s="350" t="s">
        <v>0</v>
      </c>
      <c r="G72" s="357" t="s">
        <v>68</v>
      </c>
      <c r="H72" s="394">
        <v>356.3</v>
      </c>
      <c r="I72" s="394"/>
      <c r="J72" s="356"/>
      <c r="K72" s="357"/>
      <c r="L72" s="389">
        <f t="shared" si="14"/>
        <v>356.3</v>
      </c>
      <c r="M72" s="886">
        <f>L72+L73</f>
        <v>548.3</v>
      </c>
      <c r="N72" s="390">
        <v>60000</v>
      </c>
      <c r="O72" s="390">
        <f>L72*N72</f>
        <v>21378000</v>
      </c>
      <c r="P72" s="389" t="s">
        <v>30</v>
      </c>
      <c r="Q72" s="389">
        <f aca="true" t="shared" si="18" ref="Q72:Q80">L72</f>
        <v>356.3</v>
      </c>
      <c r="R72" s="389" t="s">
        <v>243</v>
      </c>
      <c r="S72" s="390">
        <v>9500</v>
      </c>
      <c r="T72" s="360">
        <f t="shared" si="9"/>
        <v>3384850</v>
      </c>
      <c r="U72" s="494">
        <v>1</v>
      </c>
      <c r="V72" s="390">
        <f t="shared" si="16"/>
        <v>3563000</v>
      </c>
      <c r="W72" s="390">
        <f t="shared" si="17"/>
        <v>64134000</v>
      </c>
      <c r="X72" s="360">
        <f t="shared" si="5"/>
        <v>3</v>
      </c>
      <c r="Y72" s="361">
        <f t="shared" si="6"/>
        <v>10500000</v>
      </c>
      <c r="Z72" s="362">
        <f t="shared" si="12"/>
        <v>102959850</v>
      </c>
      <c r="AA72" s="363">
        <f t="shared" si="13"/>
        <v>102959850</v>
      </c>
      <c r="AB72" s="350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</row>
    <row r="73" spans="1:40" s="368" customFormat="1" ht="68.25" customHeight="1">
      <c r="A73" s="350">
        <v>26</v>
      </c>
      <c r="B73" s="381" t="s">
        <v>233</v>
      </c>
      <c r="C73" s="495">
        <v>8</v>
      </c>
      <c r="D73" s="495">
        <v>72</v>
      </c>
      <c r="E73" s="495">
        <v>254.7</v>
      </c>
      <c r="F73" s="495" t="s">
        <v>0</v>
      </c>
      <c r="G73" s="495" t="s">
        <v>288</v>
      </c>
      <c r="H73" s="394">
        <v>192</v>
      </c>
      <c r="I73" s="394"/>
      <c r="J73" s="356"/>
      <c r="K73" s="357"/>
      <c r="L73" s="389">
        <f>H73+I73+J73+K73</f>
        <v>192</v>
      </c>
      <c r="M73" s="888"/>
      <c r="N73" s="390">
        <v>60000</v>
      </c>
      <c r="O73" s="390">
        <f>L73*N73</f>
        <v>11520000</v>
      </c>
      <c r="P73" s="389" t="s">
        <v>30</v>
      </c>
      <c r="Q73" s="389">
        <f>L73</f>
        <v>192</v>
      </c>
      <c r="R73" s="389" t="s">
        <v>243</v>
      </c>
      <c r="S73" s="390">
        <v>9500</v>
      </c>
      <c r="T73" s="360">
        <f>Q73*S73*U73</f>
        <v>1824000</v>
      </c>
      <c r="U73" s="494">
        <v>1</v>
      </c>
      <c r="V73" s="390">
        <f>L73*10000</f>
        <v>1920000</v>
      </c>
      <c r="W73" s="390">
        <f>L73*N73*3</f>
        <v>34560000</v>
      </c>
      <c r="X73" s="360">
        <f>INT(M73/176.4)</f>
        <v>0</v>
      </c>
      <c r="Y73" s="361">
        <f>X73*3500000</f>
        <v>0</v>
      </c>
      <c r="Z73" s="362">
        <f>O73+T73+V73+W73+Y73</f>
        <v>49824000</v>
      </c>
      <c r="AA73" s="363">
        <f>Z73</f>
        <v>49824000</v>
      </c>
      <c r="AB73" s="350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  <c r="AN73" s="365"/>
    </row>
    <row r="74" spans="1:40" s="368" customFormat="1" ht="68.25" customHeight="1">
      <c r="A74" s="350">
        <v>27</v>
      </c>
      <c r="B74" s="381" t="s">
        <v>234</v>
      </c>
      <c r="C74" s="350">
        <v>53</v>
      </c>
      <c r="D74" s="350">
        <v>72</v>
      </c>
      <c r="E74" s="350">
        <v>160.8</v>
      </c>
      <c r="F74" s="350" t="s">
        <v>0</v>
      </c>
      <c r="G74" s="394" t="s">
        <v>43</v>
      </c>
      <c r="H74" s="393"/>
      <c r="I74" s="394">
        <v>160.8</v>
      </c>
      <c r="J74" s="356"/>
      <c r="K74" s="357"/>
      <c r="L74" s="389">
        <f t="shared" si="14"/>
        <v>160.8</v>
      </c>
      <c r="M74" s="419">
        <f t="shared" si="15"/>
        <v>160.8</v>
      </c>
      <c r="N74" s="390">
        <v>60000</v>
      </c>
      <c r="O74" s="390">
        <f>L74*N74</f>
        <v>9648000</v>
      </c>
      <c r="P74" s="389" t="s">
        <v>30</v>
      </c>
      <c r="Q74" s="389">
        <f t="shared" si="18"/>
        <v>160.8</v>
      </c>
      <c r="R74" s="389" t="s">
        <v>243</v>
      </c>
      <c r="S74" s="390">
        <v>9500</v>
      </c>
      <c r="T74" s="360">
        <f t="shared" si="9"/>
        <v>1527600</v>
      </c>
      <c r="U74" s="494">
        <v>1</v>
      </c>
      <c r="V74" s="390">
        <f t="shared" si="16"/>
        <v>1608000</v>
      </c>
      <c r="W74" s="390">
        <f t="shared" si="17"/>
        <v>28944000</v>
      </c>
      <c r="X74" s="360">
        <f t="shared" si="5"/>
        <v>0</v>
      </c>
      <c r="Y74" s="361">
        <f t="shared" si="6"/>
        <v>0</v>
      </c>
      <c r="Z74" s="362">
        <f t="shared" si="12"/>
        <v>41727600</v>
      </c>
      <c r="AA74" s="363">
        <f t="shared" si="13"/>
        <v>41727600</v>
      </c>
      <c r="AB74" s="350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5"/>
      <c r="AN74" s="365"/>
    </row>
    <row r="75" spans="1:40" s="405" customFormat="1" ht="68.25" customHeight="1">
      <c r="A75" s="442">
        <v>28</v>
      </c>
      <c r="B75" s="443" t="s">
        <v>270</v>
      </c>
      <c r="C75" s="423">
        <v>91</v>
      </c>
      <c r="D75" s="423">
        <v>72</v>
      </c>
      <c r="E75" s="424">
        <v>37.9</v>
      </c>
      <c r="F75" s="424" t="s">
        <v>45</v>
      </c>
      <c r="G75" s="428" t="s">
        <v>44</v>
      </c>
      <c r="H75" s="434"/>
      <c r="I75" s="424">
        <v>37.9</v>
      </c>
      <c r="J75" s="356"/>
      <c r="K75" s="415"/>
      <c r="L75" s="417">
        <f aca="true" t="shared" si="19" ref="L75:L81">H75+I75+J75+K75</f>
        <v>37.9</v>
      </c>
      <c r="M75" s="1015">
        <f>L75+L76</f>
        <v>210.3</v>
      </c>
      <c r="N75" s="418">
        <v>60000</v>
      </c>
      <c r="O75" s="418">
        <f aca="true" t="shared" si="20" ref="O75:O80">L75*N75</f>
        <v>2274000</v>
      </c>
      <c r="P75" s="417" t="s">
        <v>30</v>
      </c>
      <c r="Q75" s="417">
        <f t="shared" si="18"/>
        <v>37.9</v>
      </c>
      <c r="R75" s="417" t="s">
        <v>243</v>
      </c>
      <c r="S75" s="418">
        <v>9500</v>
      </c>
      <c r="T75" s="360">
        <f t="shared" si="9"/>
        <v>360050</v>
      </c>
      <c r="U75" s="494">
        <v>1</v>
      </c>
      <c r="V75" s="418">
        <f t="shared" si="16"/>
        <v>379000</v>
      </c>
      <c r="W75" s="418">
        <f t="shared" si="17"/>
        <v>6822000</v>
      </c>
      <c r="X75" s="407">
        <f t="shared" si="5"/>
        <v>1</v>
      </c>
      <c r="Y75" s="408">
        <f aca="true" t="shared" si="21" ref="Y75:Y81">X75*3500000</f>
        <v>3500000</v>
      </c>
      <c r="Z75" s="409">
        <f aca="true" t="shared" si="22" ref="Z75:Z81">O75+T75+V75+W75+Y75</f>
        <v>13335050</v>
      </c>
      <c r="AA75" s="410">
        <f aca="true" t="shared" si="23" ref="AA75:AA81">Z75</f>
        <v>13335050</v>
      </c>
      <c r="AB75" s="401"/>
      <c r="AC75" s="411"/>
      <c r="AD75" s="411"/>
      <c r="AE75" s="411"/>
      <c r="AF75" s="411"/>
      <c r="AG75" s="411"/>
      <c r="AH75" s="411" t="s">
        <v>272</v>
      </c>
      <c r="AI75" s="411"/>
      <c r="AJ75" s="411"/>
      <c r="AK75" s="411"/>
      <c r="AL75" s="411"/>
      <c r="AM75" s="411"/>
      <c r="AN75" s="411"/>
    </row>
    <row r="76" spans="1:40" s="405" customFormat="1" ht="68.25" customHeight="1">
      <c r="A76" s="442">
        <v>28</v>
      </c>
      <c r="B76" s="443" t="s">
        <v>270</v>
      </c>
      <c r="C76" s="423">
        <v>25</v>
      </c>
      <c r="D76" s="423">
        <v>72</v>
      </c>
      <c r="E76" s="424">
        <v>172.4</v>
      </c>
      <c r="F76" s="424" t="s">
        <v>45</v>
      </c>
      <c r="G76" s="428" t="s">
        <v>43</v>
      </c>
      <c r="H76" s="434"/>
      <c r="I76" s="424">
        <v>172.4</v>
      </c>
      <c r="J76" s="356"/>
      <c r="K76" s="415"/>
      <c r="L76" s="417">
        <f t="shared" si="19"/>
        <v>172.4</v>
      </c>
      <c r="M76" s="1016"/>
      <c r="N76" s="418">
        <v>60000</v>
      </c>
      <c r="O76" s="418">
        <f t="shared" si="20"/>
        <v>10344000</v>
      </c>
      <c r="P76" s="417" t="s">
        <v>30</v>
      </c>
      <c r="Q76" s="417">
        <f t="shared" si="18"/>
        <v>172.4</v>
      </c>
      <c r="R76" s="417" t="s">
        <v>243</v>
      </c>
      <c r="S76" s="418">
        <v>9500</v>
      </c>
      <c r="T76" s="360">
        <f t="shared" si="9"/>
        <v>1637800</v>
      </c>
      <c r="U76" s="494">
        <v>1</v>
      </c>
      <c r="V76" s="418">
        <f t="shared" si="16"/>
        <v>1724000</v>
      </c>
      <c r="W76" s="418">
        <f t="shared" si="17"/>
        <v>31032000</v>
      </c>
      <c r="X76" s="407">
        <f t="shared" si="5"/>
        <v>0</v>
      </c>
      <c r="Y76" s="408">
        <f t="shared" si="21"/>
        <v>0</v>
      </c>
      <c r="Z76" s="409">
        <f t="shared" si="22"/>
        <v>44737800</v>
      </c>
      <c r="AA76" s="410">
        <f t="shared" si="23"/>
        <v>44737800</v>
      </c>
      <c r="AB76" s="401"/>
      <c r="AC76" s="411"/>
      <c r="AD76" s="411"/>
      <c r="AE76" s="411"/>
      <c r="AF76" s="411"/>
      <c r="AG76" s="411"/>
      <c r="AH76" s="411" t="s">
        <v>272</v>
      </c>
      <c r="AI76" s="411"/>
      <c r="AJ76" s="411"/>
      <c r="AK76" s="411"/>
      <c r="AL76" s="411"/>
      <c r="AM76" s="411"/>
      <c r="AN76" s="411"/>
    </row>
    <row r="77" spans="1:40" s="405" customFormat="1" ht="68.25" customHeight="1">
      <c r="A77" s="442">
        <v>29</v>
      </c>
      <c r="B77" s="479" t="s">
        <v>282</v>
      </c>
      <c r="C77" s="430">
        <v>165</v>
      </c>
      <c r="D77" s="430">
        <v>72</v>
      </c>
      <c r="E77" s="431">
        <v>132</v>
      </c>
      <c r="F77" s="424" t="s">
        <v>45</v>
      </c>
      <c r="G77" s="438" t="s">
        <v>44</v>
      </c>
      <c r="H77" s="424">
        <v>66</v>
      </c>
      <c r="I77" s="424"/>
      <c r="J77" s="356"/>
      <c r="K77" s="415"/>
      <c r="L77" s="417">
        <f t="shared" si="19"/>
        <v>66</v>
      </c>
      <c r="M77" s="1015">
        <f>L77+L78</f>
        <v>70.1</v>
      </c>
      <c r="N77" s="418">
        <v>60000</v>
      </c>
      <c r="O77" s="418">
        <f t="shared" si="20"/>
        <v>3960000</v>
      </c>
      <c r="P77" s="417" t="s">
        <v>278</v>
      </c>
      <c r="Q77" s="417">
        <f t="shared" si="18"/>
        <v>66</v>
      </c>
      <c r="R77" s="417" t="s">
        <v>243</v>
      </c>
      <c r="S77" s="418">
        <v>16500</v>
      </c>
      <c r="T77" s="360">
        <f aca="true" t="shared" si="24" ref="T77:T82">Q77*S77*U77</f>
        <v>1089000</v>
      </c>
      <c r="U77" s="494">
        <v>1</v>
      </c>
      <c r="V77" s="418">
        <f aca="true" t="shared" si="25" ref="V77:V82">L77*10000</f>
        <v>660000</v>
      </c>
      <c r="W77" s="418">
        <f aca="true" t="shared" si="26" ref="W77:W82">L77*N77*3</f>
        <v>11880000</v>
      </c>
      <c r="X77" s="407">
        <f aca="true" t="shared" si="27" ref="X77:X82">INT(M77/176.4)</f>
        <v>0</v>
      </c>
      <c r="Y77" s="408">
        <f t="shared" si="21"/>
        <v>0</v>
      </c>
      <c r="Z77" s="409">
        <f t="shared" si="22"/>
        <v>17589000</v>
      </c>
      <c r="AA77" s="410">
        <f t="shared" si="23"/>
        <v>17589000</v>
      </c>
      <c r="AB77" s="401"/>
      <c r="AC77" s="411"/>
      <c r="AD77" s="411"/>
      <c r="AE77" s="411"/>
      <c r="AF77" s="411"/>
      <c r="AG77" s="411"/>
      <c r="AH77" s="411"/>
      <c r="AI77" s="411"/>
      <c r="AJ77" s="411"/>
      <c r="AK77" s="411"/>
      <c r="AL77" s="411"/>
      <c r="AM77" s="411"/>
      <c r="AN77" s="411"/>
    </row>
    <row r="78" spans="1:40" s="405" customFormat="1" ht="68.25" customHeight="1">
      <c r="A78" s="442">
        <v>29</v>
      </c>
      <c r="B78" s="479" t="s">
        <v>282</v>
      </c>
      <c r="C78" s="401">
        <v>59</v>
      </c>
      <c r="D78" s="401">
        <v>72</v>
      </c>
      <c r="E78" s="401">
        <v>123.1</v>
      </c>
      <c r="F78" s="437" t="s">
        <v>45</v>
      </c>
      <c r="G78" s="438" t="s">
        <v>44</v>
      </c>
      <c r="H78" s="416">
        <v>4.1</v>
      </c>
      <c r="I78" s="416"/>
      <c r="J78" s="356"/>
      <c r="K78" s="415"/>
      <c r="L78" s="417">
        <f t="shared" si="19"/>
        <v>4.1</v>
      </c>
      <c r="M78" s="1016"/>
      <c r="N78" s="418">
        <v>60000</v>
      </c>
      <c r="O78" s="418">
        <f t="shared" si="20"/>
        <v>245999.99999999997</v>
      </c>
      <c r="P78" s="417" t="s">
        <v>30</v>
      </c>
      <c r="Q78" s="417">
        <f t="shared" si="18"/>
        <v>4.1</v>
      </c>
      <c r="R78" s="417" t="s">
        <v>243</v>
      </c>
      <c r="S78" s="418">
        <v>9500</v>
      </c>
      <c r="T78" s="360">
        <f t="shared" si="24"/>
        <v>38950</v>
      </c>
      <c r="U78" s="494">
        <v>1</v>
      </c>
      <c r="V78" s="418">
        <f t="shared" si="25"/>
        <v>41000</v>
      </c>
      <c r="W78" s="418">
        <f t="shared" si="26"/>
        <v>737999.9999999999</v>
      </c>
      <c r="X78" s="407">
        <f t="shared" si="27"/>
        <v>0</v>
      </c>
      <c r="Y78" s="408">
        <f t="shared" si="21"/>
        <v>0</v>
      </c>
      <c r="Z78" s="409">
        <f t="shared" si="22"/>
        <v>1063950</v>
      </c>
      <c r="AA78" s="410">
        <f t="shared" si="23"/>
        <v>1063950</v>
      </c>
      <c r="AB78" s="40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</row>
    <row r="79" spans="1:40" s="405" customFormat="1" ht="68.25" customHeight="1">
      <c r="A79" s="442">
        <v>30</v>
      </c>
      <c r="B79" s="479" t="s">
        <v>283</v>
      </c>
      <c r="C79" s="430">
        <v>165</v>
      </c>
      <c r="D79" s="430">
        <v>72</v>
      </c>
      <c r="E79" s="431">
        <v>132</v>
      </c>
      <c r="F79" s="424" t="s">
        <v>45</v>
      </c>
      <c r="G79" s="438" t="s">
        <v>44</v>
      </c>
      <c r="H79" s="424">
        <v>66</v>
      </c>
      <c r="I79" s="424"/>
      <c r="J79" s="356"/>
      <c r="K79" s="415"/>
      <c r="L79" s="417">
        <f t="shared" si="19"/>
        <v>66</v>
      </c>
      <c r="M79" s="1015">
        <f>L79+L80</f>
        <v>70.1</v>
      </c>
      <c r="N79" s="418">
        <v>60000</v>
      </c>
      <c r="O79" s="418">
        <f t="shared" si="20"/>
        <v>3960000</v>
      </c>
      <c r="P79" s="417" t="s">
        <v>278</v>
      </c>
      <c r="Q79" s="417">
        <f t="shared" si="18"/>
        <v>66</v>
      </c>
      <c r="R79" s="417" t="s">
        <v>243</v>
      </c>
      <c r="S79" s="418">
        <v>16500</v>
      </c>
      <c r="T79" s="360">
        <f t="shared" si="24"/>
        <v>1089000</v>
      </c>
      <c r="U79" s="494">
        <v>1</v>
      </c>
      <c r="V79" s="418">
        <f t="shared" si="25"/>
        <v>660000</v>
      </c>
      <c r="W79" s="418">
        <f t="shared" si="26"/>
        <v>11880000</v>
      </c>
      <c r="X79" s="407">
        <f t="shared" si="27"/>
        <v>0</v>
      </c>
      <c r="Y79" s="408">
        <f t="shared" si="21"/>
        <v>0</v>
      </c>
      <c r="Z79" s="409">
        <f t="shared" si="22"/>
        <v>17589000</v>
      </c>
      <c r="AA79" s="410">
        <f t="shared" si="23"/>
        <v>17589000</v>
      </c>
      <c r="AB79" s="40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</row>
    <row r="80" spans="1:40" s="405" customFormat="1" ht="68.25" customHeight="1">
      <c r="A80" s="442">
        <v>30</v>
      </c>
      <c r="B80" s="479" t="s">
        <v>283</v>
      </c>
      <c r="C80" s="401">
        <v>59</v>
      </c>
      <c r="D80" s="401">
        <v>72</v>
      </c>
      <c r="E80" s="401">
        <v>123.1</v>
      </c>
      <c r="F80" s="437" t="s">
        <v>45</v>
      </c>
      <c r="G80" s="438" t="s">
        <v>44</v>
      </c>
      <c r="H80" s="416">
        <v>4.1</v>
      </c>
      <c r="I80" s="416"/>
      <c r="J80" s="356"/>
      <c r="K80" s="415"/>
      <c r="L80" s="417">
        <f t="shared" si="19"/>
        <v>4.1</v>
      </c>
      <c r="M80" s="1016"/>
      <c r="N80" s="418">
        <v>60000</v>
      </c>
      <c r="O80" s="418">
        <f t="shared" si="20"/>
        <v>245999.99999999997</v>
      </c>
      <c r="P80" s="417" t="s">
        <v>30</v>
      </c>
      <c r="Q80" s="417">
        <f t="shared" si="18"/>
        <v>4.1</v>
      </c>
      <c r="R80" s="417" t="s">
        <v>243</v>
      </c>
      <c r="S80" s="418">
        <v>9500</v>
      </c>
      <c r="T80" s="360">
        <f t="shared" si="24"/>
        <v>38950</v>
      </c>
      <c r="U80" s="494">
        <v>1</v>
      </c>
      <c r="V80" s="418">
        <f t="shared" si="25"/>
        <v>41000</v>
      </c>
      <c r="W80" s="418">
        <f t="shared" si="26"/>
        <v>737999.9999999999</v>
      </c>
      <c r="X80" s="407">
        <f t="shared" si="27"/>
        <v>0</v>
      </c>
      <c r="Y80" s="408">
        <f t="shared" si="21"/>
        <v>0</v>
      </c>
      <c r="Z80" s="409">
        <f t="shared" si="22"/>
        <v>1063950</v>
      </c>
      <c r="AA80" s="410">
        <f t="shared" si="23"/>
        <v>1063950</v>
      </c>
      <c r="AB80" s="401"/>
      <c r="AC80" s="411"/>
      <c r="AD80" s="411"/>
      <c r="AE80" s="411"/>
      <c r="AF80" s="411"/>
      <c r="AG80" s="411"/>
      <c r="AH80" s="411"/>
      <c r="AI80" s="411"/>
      <c r="AJ80" s="411"/>
      <c r="AK80" s="411"/>
      <c r="AL80" s="411"/>
      <c r="AM80" s="411"/>
      <c r="AN80" s="411"/>
    </row>
    <row r="81" spans="1:40" s="405" customFormat="1" ht="68.25" customHeight="1">
      <c r="A81" s="442">
        <v>31</v>
      </c>
      <c r="B81" s="436" t="s">
        <v>284</v>
      </c>
      <c r="C81" s="437">
        <v>29</v>
      </c>
      <c r="D81" s="437">
        <v>61</v>
      </c>
      <c r="E81" s="437">
        <v>158.8</v>
      </c>
      <c r="F81" s="423" t="s">
        <v>0</v>
      </c>
      <c r="G81" s="480" t="s">
        <v>285</v>
      </c>
      <c r="H81" s="481">
        <v>151</v>
      </c>
      <c r="I81" s="482"/>
      <c r="J81" s="482"/>
      <c r="K81" s="482">
        <v>7.8</v>
      </c>
      <c r="L81" s="417">
        <f t="shared" si="19"/>
        <v>158.8</v>
      </c>
      <c r="M81" s="422">
        <f>L81</f>
        <v>158.8</v>
      </c>
      <c r="N81" s="418">
        <v>60000</v>
      </c>
      <c r="O81" s="418">
        <f>L81*N81</f>
        <v>9528000</v>
      </c>
      <c r="P81" s="417" t="s">
        <v>30</v>
      </c>
      <c r="Q81" s="417">
        <f>L81-9-9</f>
        <v>140.8</v>
      </c>
      <c r="R81" s="417" t="s">
        <v>243</v>
      </c>
      <c r="S81" s="418">
        <v>9500</v>
      </c>
      <c r="T81" s="360">
        <f t="shared" si="24"/>
        <v>1337600</v>
      </c>
      <c r="U81" s="494">
        <v>1</v>
      </c>
      <c r="V81" s="418">
        <f t="shared" si="25"/>
        <v>1588000</v>
      </c>
      <c r="W81" s="418">
        <f t="shared" si="26"/>
        <v>28584000</v>
      </c>
      <c r="X81" s="407">
        <f t="shared" si="27"/>
        <v>0</v>
      </c>
      <c r="Y81" s="408">
        <f t="shared" si="21"/>
        <v>0</v>
      </c>
      <c r="Z81" s="409">
        <f t="shared" si="22"/>
        <v>41037600</v>
      </c>
      <c r="AA81" s="410">
        <f t="shared" si="23"/>
        <v>41037600</v>
      </c>
      <c r="AB81" s="401"/>
      <c r="AC81" s="411"/>
      <c r="AD81" s="411"/>
      <c r="AE81" s="411"/>
      <c r="AF81" s="411"/>
      <c r="AG81" s="411"/>
      <c r="AH81" s="411"/>
      <c r="AI81" s="411"/>
      <c r="AJ81" s="411"/>
      <c r="AK81" s="411"/>
      <c r="AL81" s="411"/>
      <c r="AM81" s="411"/>
      <c r="AN81" s="411"/>
    </row>
    <row r="82" spans="1:40" s="405" customFormat="1" ht="68.25" customHeight="1">
      <c r="A82" s="493">
        <v>32</v>
      </c>
      <c r="B82" s="496" t="s">
        <v>289</v>
      </c>
      <c r="C82" s="437">
        <v>328</v>
      </c>
      <c r="D82" s="437">
        <v>72</v>
      </c>
      <c r="E82" s="437">
        <v>268.9</v>
      </c>
      <c r="F82" s="437" t="s">
        <v>0</v>
      </c>
      <c r="G82" s="437" t="s">
        <v>0</v>
      </c>
      <c r="H82" s="481"/>
      <c r="I82" s="482">
        <f>E82-30</f>
        <v>238.89999999999998</v>
      </c>
      <c r="J82" s="482"/>
      <c r="K82" s="482"/>
      <c r="L82" s="417">
        <f>H82+I82+J82+K82</f>
        <v>238.89999999999998</v>
      </c>
      <c r="M82" s="492">
        <f>L82</f>
        <v>238.89999999999998</v>
      </c>
      <c r="N82" s="418">
        <v>60000</v>
      </c>
      <c r="O82" s="418">
        <f>L82*N82</f>
        <v>14333999.999999998</v>
      </c>
      <c r="P82" s="417" t="s">
        <v>30</v>
      </c>
      <c r="Q82" s="417">
        <f>L82</f>
        <v>238.89999999999998</v>
      </c>
      <c r="R82" s="417" t="s">
        <v>243</v>
      </c>
      <c r="S82" s="418">
        <v>9500</v>
      </c>
      <c r="T82" s="360">
        <f t="shared" si="24"/>
        <v>2269550</v>
      </c>
      <c r="U82" s="494">
        <v>1</v>
      </c>
      <c r="V82" s="418">
        <f t="shared" si="25"/>
        <v>2389000</v>
      </c>
      <c r="W82" s="418">
        <f t="shared" si="26"/>
        <v>43001999.99999999</v>
      </c>
      <c r="X82" s="407">
        <f t="shared" si="27"/>
        <v>1</v>
      </c>
      <c r="Y82" s="408">
        <f>X82*3500000</f>
        <v>3500000</v>
      </c>
      <c r="Z82" s="409">
        <f>O82+T82+V82+W82+Y82</f>
        <v>65494549.99999999</v>
      </c>
      <c r="AA82" s="410">
        <f>Z82</f>
        <v>65494549.99999999</v>
      </c>
      <c r="AB82" s="40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</row>
    <row r="83" spans="1:40" s="371" customFormat="1" ht="75" customHeight="1">
      <c r="A83" s="369" t="s">
        <v>287</v>
      </c>
      <c r="B83" s="382" t="s">
        <v>59</v>
      </c>
      <c r="C83" s="369"/>
      <c r="D83" s="369"/>
      <c r="E83" s="370"/>
      <c r="F83" s="369"/>
      <c r="G83" s="395"/>
      <c r="H83" s="389">
        <f>SUM(H84:H100)</f>
        <v>965.6</v>
      </c>
      <c r="I83" s="389">
        <f>SUM(I84:I100)</f>
        <v>1938.8999999999999</v>
      </c>
      <c r="J83" s="356"/>
      <c r="K83" s="357"/>
      <c r="L83" s="389">
        <f>SUM(L84:L100)</f>
        <v>2904.5</v>
      </c>
      <c r="M83" s="389">
        <f>SUM(M84:M100)</f>
        <v>2904.5</v>
      </c>
      <c r="N83" s="389"/>
      <c r="O83" s="389">
        <f>SUM(O84:O100)</f>
        <v>174270000</v>
      </c>
      <c r="P83" s="389"/>
      <c r="Q83" s="389">
        <f>SUM(Q84:Q100)</f>
        <v>2902</v>
      </c>
      <c r="R83" s="389"/>
      <c r="S83" s="389">
        <f>SUM(S84:S100)</f>
        <v>161500</v>
      </c>
      <c r="T83" s="390">
        <f>SUM(T84:T100)</f>
        <v>27569000</v>
      </c>
      <c r="U83" s="390"/>
      <c r="V83" s="390">
        <f aca="true" t="shared" si="28" ref="V83:AA83">SUM(V84:V100)</f>
        <v>29045000</v>
      </c>
      <c r="W83" s="390">
        <f t="shared" si="28"/>
        <v>522810000</v>
      </c>
      <c r="X83" s="390">
        <f t="shared" si="28"/>
        <v>13</v>
      </c>
      <c r="Y83" s="390">
        <f t="shared" si="28"/>
        <v>45500000</v>
      </c>
      <c r="Z83" s="390">
        <f t="shared" si="28"/>
        <v>799194000</v>
      </c>
      <c r="AA83" s="390">
        <f t="shared" si="28"/>
        <v>799194000</v>
      </c>
      <c r="AB83" s="350"/>
      <c r="AC83" s="364"/>
      <c r="AD83" s="364"/>
      <c r="AE83" s="364"/>
      <c r="AF83" s="364"/>
      <c r="AG83" s="365"/>
      <c r="AH83" s="365"/>
      <c r="AI83" s="365"/>
      <c r="AJ83" s="365"/>
      <c r="AK83" s="365"/>
      <c r="AL83" s="365"/>
      <c r="AM83" s="365"/>
      <c r="AN83" s="365"/>
    </row>
    <row r="84" spans="1:40" s="368" customFormat="1" ht="68.25" customHeight="1">
      <c r="A84" s="346">
        <v>1</v>
      </c>
      <c r="B84" s="377" t="s">
        <v>209</v>
      </c>
      <c r="C84" s="347">
        <v>182</v>
      </c>
      <c r="D84" s="347">
        <v>72</v>
      </c>
      <c r="E84" s="348">
        <v>102.7</v>
      </c>
      <c r="F84" s="347" t="s">
        <v>45</v>
      </c>
      <c r="G84" s="385" t="s">
        <v>44</v>
      </c>
      <c r="H84" s="386"/>
      <c r="I84" s="387">
        <v>102.7</v>
      </c>
      <c r="J84" s="356"/>
      <c r="K84" s="357"/>
      <c r="L84" s="389">
        <f aca="true" t="shared" si="29" ref="L84:L100">H84+I84+J84+K84</f>
        <v>102.7</v>
      </c>
      <c r="M84" s="886">
        <f>SUM(L84:L88)</f>
        <v>460.79999999999995</v>
      </c>
      <c r="N84" s="390">
        <v>60000</v>
      </c>
      <c r="O84" s="390">
        <f aca="true" t="shared" si="30" ref="O84:O89">L84*N84</f>
        <v>6162000</v>
      </c>
      <c r="P84" s="389" t="s">
        <v>30</v>
      </c>
      <c r="Q84" s="389">
        <f aca="true" t="shared" si="31" ref="Q84:Q89">L84</f>
        <v>102.7</v>
      </c>
      <c r="R84" s="389" t="s">
        <v>243</v>
      </c>
      <c r="S84" s="390">
        <v>9500</v>
      </c>
      <c r="T84" s="390">
        <f aca="true" t="shared" si="32" ref="T84:T89">Q84*S84</f>
        <v>975650</v>
      </c>
      <c r="U84" s="494">
        <v>1</v>
      </c>
      <c r="V84" s="390">
        <f aca="true" t="shared" si="33" ref="V84:V89">L84*10000</f>
        <v>1027000</v>
      </c>
      <c r="W84" s="390">
        <f aca="true" t="shared" si="34" ref="W84:W89">L84*N84*3</f>
        <v>18486000</v>
      </c>
      <c r="X84" s="390">
        <f>INT(M84/176.4)</f>
        <v>2</v>
      </c>
      <c r="Y84" s="361">
        <f t="shared" si="6"/>
        <v>7000000</v>
      </c>
      <c r="Z84" s="362">
        <f t="shared" si="12"/>
        <v>33650650</v>
      </c>
      <c r="AA84" s="363">
        <f t="shared" si="13"/>
        <v>33650650</v>
      </c>
      <c r="AB84" s="350"/>
      <c r="AC84" s="365"/>
      <c r="AD84" s="365"/>
      <c r="AE84" s="365"/>
      <c r="AF84" s="365"/>
      <c r="AG84" s="365"/>
      <c r="AH84" s="365"/>
      <c r="AI84" s="365"/>
      <c r="AJ84" s="365"/>
      <c r="AK84" s="365"/>
      <c r="AL84" s="365"/>
      <c r="AM84" s="365"/>
      <c r="AN84" s="365"/>
    </row>
    <row r="85" spans="1:40" s="368" customFormat="1" ht="68.25" customHeight="1">
      <c r="A85" s="346">
        <v>1</v>
      </c>
      <c r="B85" s="377" t="s">
        <v>209</v>
      </c>
      <c r="C85" s="347">
        <v>55</v>
      </c>
      <c r="D85" s="347">
        <v>72</v>
      </c>
      <c r="E85" s="348">
        <v>58.6</v>
      </c>
      <c r="F85" s="347" t="s">
        <v>0</v>
      </c>
      <c r="G85" s="385" t="s">
        <v>44</v>
      </c>
      <c r="H85" s="386"/>
      <c r="I85" s="387">
        <v>58.6</v>
      </c>
      <c r="J85" s="356"/>
      <c r="K85" s="357"/>
      <c r="L85" s="389">
        <f t="shared" si="29"/>
        <v>58.6</v>
      </c>
      <c r="M85" s="887"/>
      <c r="N85" s="390">
        <v>60000</v>
      </c>
      <c r="O85" s="390">
        <f t="shared" si="30"/>
        <v>3516000</v>
      </c>
      <c r="P85" s="389" t="s">
        <v>30</v>
      </c>
      <c r="Q85" s="389">
        <f t="shared" si="31"/>
        <v>58.6</v>
      </c>
      <c r="R85" s="389" t="s">
        <v>243</v>
      </c>
      <c r="S85" s="390">
        <v>9500</v>
      </c>
      <c r="T85" s="390">
        <f t="shared" si="32"/>
        <v>556700</v>
      </c>
      <c r="U85" s="494">
        <v>1</v>
      </c>
      <c r="V85" s="390">
        <f t="shared" si="33"/>
        <v>586000</v>
      </c>
      <c r="W85" s="390">
        <f t="shared" si="34"/>
        <v>10548000</v>
      </c>
      <c r="X85" s="390">
        <f>SUM(X86:X89)</f>
        <v>0</v>
      </c>
      <c r="Y85" s="361">
        <f t="shared" si="6"/>
        <v>0</v>
      </c>
      <c r="Z85" s="362">
        <f t="shared" si="12"/>
        <v>15206700</v>
      </c>
      <c r="AA85" s="363">
        <f t="shared" si="13"/>
        <v>15206700</v>
      </c>
      <c r="AB85" s="350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5"/>
      <c r="AN85" s="365"/>
    </row>
    <row r="86" spans="1:40" s="368" customFormat="1" ht="68.25" customHeight="1">
      <c r="A86" s="352">
        <v>1</v>
      </c>
      <c r="B86" s="383" t="s">
        <v>209</v>
      </c>
      <c r="C86" s="353">
        <v>60</v>
      </c>
      <c r="D86" s="353">
        <v>81</v>
      </c>
      <c r="E86" s="354">
        <v>52.7</v>
      </c>
      <c r="F86" s="353" t="s">
        <v>45</v>
      </c>
      <c r="G86" s="385" t="s">
        <v>37</v>
      </c>
      <c r="H86" s="386"/>
      <c r="I86" s="397">
        <v>52.7</v>
      </c>
      <c r="J86" s="356"/>
      <c r="K86" s="357"/>
      <c r="L86" s="395">
        <f t="shared" si="29"/>
        <v>52.7</v>
      </c>
      <c r="M86" s="887"/>
      <c r="N86" s="396">
        <v>60000</v>
      </c>
      <c r="O86" s="396">
        <f t="shared" si="30"/>
        <v>3162000</v>
      </c>
      <c r="P86" s="395" t="s">
        <v>30</v>
      </c>
      <c r="Q86" s="395">
        <f t="shared" si="31"/>
        <v>52.7</v>
      </c>
      <c r="R86" s="395" t="s">
        <v>243</v>
      </c>
      <c r="S86" s="396">
        <v>9500</v>
      </c>
      <c r="T86" s="396">
        <f t="shared" si="32"/>
        <v>500650</v>
      </c>
      <c r="U86" s="494">
        <v>1</v>
      </c>
      <c r="V86" s="396">
        <f t="shared" si="33"/>
        <v>527000</v>
      </c>
      <c r="W86" s="396">
        <f t="shared" si="34"/>
        <v>9486000</v>
      </c>
      <c r="X86" s="390">
        <f>INT(M86/176.4)</f>
        <v>0</v>
      </c>
      <c r="Y86" s="361">
        <f aca="true" t="shared" si="35" ref="Y86:Y93">X86*3500000</f>
        <v>0</v>
      </c>
      <c r="Z86" s="362">
        <f t="shared" si="12"/>
        <v>13675650</v>
      </c>
      <c r="AA86" s="363">
        <f t="shared" si="13"/>
        <v>13675650</v>
      </c>
      <c r="AB86" s="369"/>
      <c r="AC86" s="365"/>
      <c r="AD86" s="365"/>
      <c r="AE86" s="365"/>
      <c r="AF86" s="365"/>
      <c r="AG86" s="365"/>
      <c r="AH86" s="365"/>
      <c r="AI86" s="365"/>
      <c r="AJ86" s="365"/>
      <c r="AK86" s="365"/>
      <c r="AL86" s="365"/>
      <c r="AM86" s="365"/>
      <c r="AN86" s="365"/>
    </row>
    <row r="87" spans="1:40" s="368" customFormat="1" ht="68.25" customHeight="1">
      <c r="A87" s="346">
        <v>1</v>
      </c>
      <c r="B87" s="377" t="s">
        <v>209</v>
      </c>
      <c r="C87" s="347">
        <v>105</v>
      </c>
      <c r="D87" s="347">
        <v>72</v>
      </c>
      <c r="E87" s="348">
        <v>89.7</v>
      </c>
      <c r="F87" s="347" t="s">
        <v>45</v>
      </c>
      <c r="G87" s="385" t="s">
        <v>44</v>
      </c>
      <c r="H87" s="386"/>
      <c r="I87" s="387">
        <v>89.7</v>
      </c>
      <c r="J87" s="356"/>
      <c r="K87" s="357"/>
      <c r="L87" s="389">
        <f t="shared" si="29"/>
        <v>89.7</v>
      </c>
      <c r="M87" s="887"/>
      <c r="N87" s="390">
        <v>60000</v>
      </c>
      <c r="O87" s="390">
        <f t="shared" si="30"/>
        <v>5382000</v>
      </c>
      <c r="P87" s="389" t="s">
        <v>30</v>
      </c>
      <c r="Q87" s="389">
        <f t="shared" si="31"/>
        <v>89.7</v>
      </c>
      <c r="R87" s="389" t="s">
        <v>243</v>
      </c>
      <c r="S87" s="390">
        <v>9500</v>
      </c>
      <c r="T87" s="390">
        <f t="shared" si="32"/>
        <v>852150</v>
      </c>
      <c r="U87" s="494">
        <v>1</v>
      </c>
      <c r="V87" s="390">
        <f t="shared" si="33"/>
        <v>897000</v>
      </c>
      <c r="W87" s="390">
        <f t="shared" si="34"/>
        <v>16146000</v>
      </c>
      <c r="X87" s="390">
        <f>SUM(X89:X89)</f>
        <v>0</v>
      </c>
      <c r="Y87" s="361">
        <f t="shared" si="35"/>
        <v>0</v>
      </c>
      <c r="Z87" s="362">
        <f aca="true" t="shared" si="36" ref="Z87:Z93">O87+T87+V87+W87+Y87</f>
        <v>23277150</v>
      </c>
      <c r="AA87" s="363">
        <f aca="true" t="shared" si="37" ref="AA87:AA93">Z87</f>
        <v>23277150</v>
      </c>
      <c r="AB87" s="350"/>
      <c r="AC87" s="365"/>
      <c r="AD87" s="365"/>
      <c r="AE87" s="365"/>
      <c r="AF87" s="365"/>
      <c r="AG87" s="365"/>
      <c r="AH87" s="365"/>
      <c r="AI87" s="365"/>
      <c r="AJ87" s="365"/>
      <c r="AK87" s="365"/>
      <c r="AL87" s="365"/>
      <c r="AM87" s="365"/>
      <c r="AN87" s="365"/>
    </row>
    <row r="88" spans="1:40" s="405" customFormat="1" ht="68.25" customHeight="1">
      <c r="A88" s="489">
        <v>1</v>
      </c>
      <c r="B88" s="413" t="s">
        <v>209</v>
      </c>
      <c r="C88" s="423">
        <v>82</v>
      </c>
      <c r="D88" s="423">
        <v>72</v>
      </c>
      <c r="E88" s="424">
        <v>157.1</v>
      </c>
      <c r="F88" s="414" t="s">
        <v>45</v>
      </c>
      <c r="G88" s="490" t="s">
        <v>44</v>
      </c>
      <c r="H88" s="435"/>
      <c r="I88" s="416">
        <f>E88</f>
        <v>157.1</v>
      </c>
      <c r="J88" s="356"/>
      <c r="K88" s="415"/>
      <c r="L88" s="491">
        <f t="shared" si="29"/>
        <v>157.1</v>
      </c>
      <c r="M88" s="1016"/>
      <c r="N88" s="484">
        <v>60000</v>
      </c>
      <c r="O88" s="484">
        <f t="shared" si="30"/>
        <v>9426000</v>
      </c>
      <c r="P88" s="491" t="s">
        <v>30</v>
      </c>
      <c r="Q88" s="491">
        <f t="shared" si="31"/>
        <v>157.1</v>
      </c>
      <c r="R88" s="491" t="s">
        <v>243</v>
      </c>
      <c r="S88" s="484">
        <v>9500</v>
      </c>
      <c r="T88" s="484">
        <f t="shared" si="32"/>
        <v>1492450</v>
      </c>
      <c r="U88" s="494">
        <v>1</v>
      </c>
      <c r="V88" s="484">
        <f t="shared" si="33"/>
        <v>1571000</v>
      </c>
      <c r="W88" s="484">
        <f t="shared" si="34"/>
        <v>28278000</v>
      </c>
      <c r="X88" s="418">
        <f>INT(M88/176.4)</f>
        <v>0</v>
      </c>
      <c r="Y88" s="408">
        <f>X88*3500000</f>
        <v>0</v>
      </c>
      <c r="Z88" s="409">
        <f t="shared" si="36"/>
        <v>40767450</v>
      </c>
      <c r="AA88" s="410">
        <f t="shared" si="37"/>
        <v>40767450</v>
      </c>
      <c r="AB88" s="401"/>
      <c r="AC88" s="365"/>
      <c r="AD88" s="365"/>
      <c r="AE88" s="365"/>
      <c r="AF88" s="365"/>
      <c r="AG88" s="365"/>
      <c r="AH88" s="411"/>
      <c r="AI88" s="411"/>
      <c r="AJ88" s="411"/>
      <c r="AK88" s="411"/>
      <c r="AL88" s="411"/>
      <c r="AM88" s="411"/>
      <c r="AN88" s="411"/>
    </row>
    <row r="89" spans="1:40" s="368" customFormat="1" ht="68.25" customHeight="1">
      <c r="A89" s="350">
        <v>2</v>
      </c>
      <c r="B89" s="378" t="s">
        <v>230</v>
      </c>
      <c r="C89" s="350">
        <v>43</v>
      </c>
      <c r="D89" s="350">
        <v>81</v>
      </c>
      <c r="E89" s="350">
        <v>79.5</v>
      </c>
      <c r="F89" s="350" t="s">
        <v>0</v>
      </c>
      <c r="G89" s="350" t="s">
        <v>37</v>
      </c>
      <c r="H89" s="356"/>
      <c r="I89" s="350">
        <v>79.5</v>
      </c>
      <c r="J89" s="356"/>
      <c r="K89" s="357"/>
      <c r="L89" s="358">
        <f t="shared" si="29"/>
        <v>79.5</v>
      </c>
      <c r="M89" s="372">
        <f>L89</f>
        <v>79.5</v>
      </c>
      <c r="N89" s="360">
        <v>60000</v>
      </c>
      <c r="O89" s="360">
        <f t="shared" si="30"/>
        <v>4770000</v>
      </c>
      <c r="P89" s="358" t="s">
        <v>30</v>
      </c>
      <c r="Q89" s="358">
        <f t="shared" si="31"/>
        <v>79.5</v>
      </c>
      <c r="R89" s="358" t="s">
        <v>241</v>
      </c>
      <c r="S89" s="360">
        <v>9500</v>
      </c>
      <c r="T89" s="360">
        <f t="shared" si="32"/>
        <v>755250</v>
      </c>
      <c r="U89" s="494">
        <v>1</v>
      </c>
      <c r="V89" s="360">
        <f t="shared" si="33"/>
        <v>795000</v>
      </c>
      <c r="W89" s="360">
        <f t="shared" si="34"/>
        <v>14310000</v>
      </c>
      <c r="X89" s="360">
        <v>0</v>
      </c>
      <c r="Y89" s="361">
        <f t="shared" si="35"/>
        <v>0</v>
      </c>
      <c r="Z89" s="362">
        <f t="shared" si="36"/>
        <v>20630250</v>
      </c>
      <c r="AA89" s="373">
        <f t="shared" si="37"/>
        <v>20630250</v>
      </c>
      <c r="AB89" s="350"/>
      <c r="AC89" s="365"/>
      <c r="AD89" s="365"/>
      <c r="AE89" s="365"/>
      <c r="AF89" s="365"/>
      <c r="AG89" s="365"/>
      <c r="AH89" s="365"/>
      <c r="AI89" s="365"/>
      <c r="AJ89" s="365"/>
      <c r="AK89" s="365"/>
      <c r="AL89" s="365"/>
      <c r="AM89" s="365"/>
      <c r="AN89" s="365"/>
    </row>
    <row r="90" spans="1:40" s="368" customFormat="1" ht="68.25" customHeight="1">
      <c r="A90" s="346">
        <v>3</v>
      </c>
      <c r="B90" s="379" t="s">
        <v>216</v>
      </c>
      <c r="C90" s="347">
        <v>18</v>
      </c>
      <c r="D90" s="347">
        <v>71</v>
      </c>
      <c r="E90" s="348">
        <v>126.1</v>
      </c>
      <c r="F90" s="347" t="s">
        <v>45</v>
      </c>
      <c r="G90" s="391" t="s">
        <v>32</v>
      </c>
      <c r="H90" s="393"/>
      <c r="I90" s="387">
        <v>126.1</v>
      </c>
      <c r="J90" s="356"/>
      <c r="K90" s="357"/>
      <c r="L90" s="389">
        <f t="shared" si="29"/>
        <v>126.1</v>
      </c>
      <c r="M90" s="886">
        <f>SUM(L90:L93)</f>
        <v>514.1</v>
      </c>
      <c r="N90" s="390">
        <v>60000</v>
      </c>
      <c r="O90" s="390">
        <f aca="true" t="shared" si="38" ref="O90:O95">L90*N90</f>
        <v>7566000</v>
      </c>
      <c r="P90" s="389" t="s">
        <v>30</v>
      </c>
      <c r="Q90" s="389">
        <f aca="true" t="shared" si="39" ref="Q90:Q95">L90</f>
        <v>126.1</v>
      </c>
      <c r="R90" s="389" t="s">
        <v>243</v>
      </c>
      <c r="S90" s="390">
        <v>9500</v>
      </c>
      <c r="T90" s="390">
        <f aca="true" t="shared" si="40" ref="T90:T95">Q90*S90</f>
        <v>1197950</v>
      </c>
      <c r="U90" s="494">
        <v>1</v>
      </c>
      <c r="V90" s="390">
        <f aca="true" t="shared" si="41" ref="V90:V95">L90*10000</f>
        <v>1261000</v>
      </c>
      <c r="W90" s="390">
        <f aca="true" t="shared" si="42" ref="W90:W95">L90*N90*3</f>
        <v>22698000</v>
      </c>
      <c r="X90" s="390">
        <f aca="true" t="shared" si="43" ref="X90:X95">INT(M90/176.4)</f>
        <v>2</v>
      </c>
      <c r="Y90" s="361">
        <f t="shared" si="35"/>
        <v>7000000</v>
      </c>
      <c r="Z90" s="362">
        <f t="shared" si="36"/>
        <v>39722950</v>
      </c>
      <c r="AA90" s="363">
        <f t="shared" si="37"/>
        <v>39722950</v>
      </c>
      <c r="AB90" s="350"/>
      <c r="AC90" s="365"/>
      <c r="AD90" s="365"/>
      <c r="AE90" s="365"/>
      <c r="AF90" s="365"/>
      <c r="AG90" s="365"/>
      <c r="AH90" s="365"/>
      <c r="AI90" s="365"/>
      <c r="AJ90" s="365"/>
      <c r="AK90" s="365"/>
      <c r="AL90" s="365"/>
      <c r="AM90" s="365"/>
      <c r="AN90" s="365"/>
    </row>
    <row r="91" spans="1:40" s="368" customFormat="1" ht="68.25" customHeight="1">
      <c r="A91" s="346">
        <v>3</v>
      </c>
      <c r="B91" s="379" t="s">
        <v>216</v>
      </c>
      <c r="C91" s="347">
        <v>25</v>
      </c>
      <c r="D91" s="347">
        <v>71</v>
      </c>
      <c r="E91" s="348">
        <v>131.3</v>
      </c>
      <c r="F91" s="347" t="s">
        <v>45</v>
      </c>
      <c r="G91" s="391" t="s">
        <v>32</v>
      </c>
      <c r="H91" s="393"/>
      <c r="I91" s="387">
        <v>131.3</v>
      </c>
      <c r="J91" s="356"/>
      <c r="K91" s="357"/>
      <c r="L91" s="389">
        <f t="shared" si="29"/>
        <v>131.3</v>
      </c>
      <c r="M91" s="887"/>
      <c r="N91" s="390">
        <v>60000</v>
      </c>
      <c r="O91" s="390">
        <f t="shared" si="38"/>
        <v>7878000.000000001</v>
      </c>
      <c r="P91" s="389" t="s">
        <v>30</v>
      </c>
      <c r="Q91" s="389">
        <f t="shared" si="39"/>
        <v>131.3</v>
      </c>
      <c r="R91" s="389" t="s">
        <v>243</v>
      </c>
      <c r="S91" s="390">
        <v>9500</v>
      </c>
      <c r="T91" s="390">
        <f t="shared" si="40"/>
        <v>1247350</v>
      </c>
      <c r="U91" s="494">
        <v>1</v>
      </c>
      <c r="V91" s="390">
        <f t="shared" si="41"/>
        <v>1313000</v>
      </c>
      <c r="W91" s="390">
        <f t="shared" si="42"/>
        <v>23634000.000000004</v>
      </c>
      <c r="X91" s="390">
        <f t="shared" si="43"/>
        <v>0</v>
      </c>
      <c r="Y91" s="361">
        <f t="shared" si="35"/>
        <v>0</v>
      </c>
      <c r="Z91" s="362">
        <f t="shared" si="36"/>
        <v>34072350</v>
      </c>
      <c r="AA91" s="363">
        <f t="shared" si="37"/>
        <v>34072350</v>
      </c>
      <c r="AB91" s="350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5"/>
      <c r="AN91" s="365"/>
    </row>
    <row r="92" spans="1:40" s="368" customFormat="1" ht="68.25" customHeight="1">
      <c r="A92" s="346">
        <v>3</v>
      </c>
      <c r="B92" s="379" t="s">
        <v>216</v>
      </c>
      <c r="C92" s="347">
        <v>114</v>
      </c>
      <c r="D92" s="347">
        <v>71</v>
      </c>
      <c r="E92" s="348">
        <v>153.3</v>
      </c>
      <c r="F92" s="347" t="s">
        <v>45</v>
      </c>
      <c r="G92" s="391" t="s">
        <v>32</v>
      </c>
      <c r="H92" s="393"/>
      <c r="I92" s="387">
        <v>153.3</v>
      </c>
      <c r="J92" s="356"/>
      <c r="K92" s="357"/>
      <c r="L92" s="389">
        <f t="shared" si="29"/>
        <v>153.3</v>
      </c>
      <c r="M92" s="887"/>
      <c r="N92" s="390">
        <v>60000</v>
      </c>
      <c r="O92" s="390">
        <f t="shared" si="38"/>
        <v>9198000</v>
      </c>
      <c r="P92" s="389" t="s">
        <v>30</v>
      </c>
      <c r="Q92" s="389">
        <f t="shared" si="39"/>
        <v>153.3</v>
      </c>
      <c r="R92" s="389" t="s">
        <v>243</v>
      </c>
      <c r="S92" s="390">
        <v>9500</v>
      </c>
      <c r="T92" s="390">
        <f t="shared" si="40"/>
        <v>1456350</v>
      </c>
      <c r="U92" s="494">
        <v>1</v>
      </c>
      <c r="V92" s="390">
        <f t="shared" si="41"/>
        <v>1533000</v>
      </c>
      <c r="W92" s="390">
        <f t="shared" si="42"/>
        <v>27594000</v>
      </c>
      <c r="X92" s="390">
        <f t="shared" si="43"/>
        <v>0</v>
      </c>
      <c r="Y92" s="361">
        <f t="shared" si="35"/>
        <v>0</v>
      </c>
      <c r="Z92" s="362">
        <f t="shared" si="36"/>
        <v>39781350</v>
      </c>
      <c r="AA92" s="363">
        <f t="shared" si="37"/>
        <v>39781350</v>
      </c>
      <c r="AB92" s="350"/>
      <c r="AC92" s="365"/>
      <c r="AD92" s="365"/>
      <c r="AE92" s="365"/>
      <c r="AF92" s="365"/>
      <c r="AG92" s="365"/>
      <c r="AH92" s="365"/>
      <c r="AI92" s="365"/>
      <c r="AJ92" s="365"/>
      <c r="AK92" s="365"/>
      <c r="AL92" s="365"/>
      <c r="AM92" s="365"/>
      <c r="AN92" s="365"/>
    </row>
    <row r="93" spans="1:40" s="368" customFormat="1" ht="68.25" customHeight="1">
      <c r="A93" s="346">
        <v>3</v>
      </c>
      <c r="B93" s="379" t="s">
        <v>216</v>
      </c>
      <c r="C93" s="347">
        <v>118</v>
      </c>
      <c r="D93" s="347">
        <v>71</v>
      </c>
      <c r="E93" s="348">
        <v>103.4</v>
      </c>
      <c r="F93" s="347" t="s">
        <v>0</v>
      </c>
      <c r="G93" s="391" t="s">
        <v>32</v>
      </c>
      <c r="H93" s="393"/>
      <c r="I93" s="387">
        <v>103.4</v>
      </c>
      <c r="J93" s="356"/>
      <c r="K93" s="357"/>
      <c r="L93" s="389">
        <f t="shared" si="29"/>
        <v>103.4</v>
      </c>
      <c r="M93" s="888"/>
      <c r="N93" s="390">
        <v>60000</v>
      </c>
      <c r="O93" s="390">
        <f t="shared" si="38"/>
        <v>6204000</v>
      </c>
      <c r="P93" s="389" t="s">
        <v>30</v>
      </c>
      <c r="Q93" s="389">
        <f t="shared" si="39"/>
        <v>103.4</v>
      </c>
      <c r="R93" s="389" t="s">
        <v>243</v>
      </c>
      <c r="S93" s="390">
        <v>9500</v>
      </c>
      <c r="T93" s="390">
        <f t="shared" si="40"/>
        <v>982300</v>
      </c>
      <c r="U93" s="494">
        <v>1</v>
      </c>
      <c r="V93" s="390">
        <f t="shared" si="41"/>
        <v>1034000</v>
      </c>
      <c r="W93" s="390">
        <f t="shared" si="42"/>
        <v>18612000</v>
      </c>
      <c r="X93" s="390">
        <f t="shared" si="43"/>
        <v>0</v>
      </c>
      <c r="Y93" s="361">
        <f t="shared" si="35"/>
        <v>0</v>
      </c>
      <c r="Z93" s="362">
        <f t="shared" si="36"/>
        <v>26832300</v>
      </c>
      <c r="AA93" s="373">
        <f t="shared" si="37"/>
        <v>26832300</v>
      </c>
      <c r="AB93" s="350"/>
      <c r="AC93" s="365"/>
      <c r="AD93" s="365"/>
      <c r="AE93" s="365"/>
      <c r="AF93" s="365"/>
      <c r="AG93" s="365"/>
      <c r="AH93" s="365"/>
      <c r="AI93" s="365"/>
      <c r="AJ93" s="365"/>
      <c r="AK93" s="365"/>
      <c r="AL93" s="365"/>
      <c r="AM93" s="365"/>
      <c r="AN93" s="365"/>
    </row>
    <row r="94" spans="1:40" s="368" customFormat="1" ht="68.25" customHeight="1">
      <c r="A94" s="350">
        <v>4</v>
      </c>
      <c r="B94" s="378" t="s">
        <v>223</v>
      </c>
      <c r="C94" s="350">
        <v>81</v>
      </c>
      <c r="D94" s="350">
        <v>81</v>
      </c>
      <c r="E94" s="351">
        <v>137</v>
      </c>
      <c r="F94" s="350" t="s">
        <v>45</v>
      </c>
      <c r="G94" s="394" t="s">
        <v>37</v>
      </c>
      <c r="H94" s="393"/>
      <c r="I94" s="387">
        <v>0.6</v>
      </c>
      <c r="J94" s="356"/>
      <c r="K94" s="357"/>
      <c r="L94" s="389">
        <f t="shared" si="29"/>
        <v>0.6</v>
      </c>
      <c r="M94" s="392">
        <f>L94</f>
        <v>0.6</v>
      </c>
      <c r="N94" s="390">
        <v>60000</v>
      </c>
      <c r="O94" s="390">
        <f t="shared" si="38"/>
        <v>36000</v>
      </c>
      <c r="P94" s="389" t="s">
        <v>30</v>
      </c>
      <c r="Q94" s="389">
        <f t="shared" si="39"/>
        <v>0.6</v>
      </c>
      <c r="R94" s="389" t="s">
        <v>243</v>
      </c>
      <c r="S94" s="390">
        <v>9500</v>
      </c>
      <c r="T94" s="390">
        <f t="shared" si="40"/>
        <v>5700</v>
      </c>
      <c r="U94" s="494">
        <v>1</v>
      </c>
      <c r="V94" s="390">
        <f t="shared" si="41"/>
        <v>6000</v>
      </c>
      <c r="W94" s="390">
        <f t="shared" si="42"/>
        <v>108000</v>
      </c>
      <c r="X94" s="390">
        <f t="shared" si="43"/>
        <v>0</v>
      </c>
      <c r="Y94" s="361">
        <f aca="true" t="shared" si="44" ref="Y94:Y100">X94*3500000</f>
        <v>0</v>
      </c>
      <c r="Z94" s="362">
        <f aca="true" t="shared" si="45" ref="Z94:Z100">O94+T94+V94+W94+Y94</f>
        <v>155700</v>
      </c>
      <c r="AA94" s="363">
        <f aca="true" t="shared" si="46" ref="AA94:AA100">Z94</f>
        <v>155700</v>
      </c>
      <c r="AB94" s="350"/>
      <c r="AC94" s="365"/>
      <c r="AD94" s="365"/>
      <c r="AE94" s="365"/>
      <c r="AF94" s="365"/>
      <c r="AG94" s="365"/>
      <c r="AH94" s="365"/>
      <c r="AI94" s="365"/>
      <c r="AJ94" s="365"/>
      <c r="AK94" s="365"/>
      <c r="AL94" s="365"/>
      <c r="AM94" s="365"/>
      <c r="AN94" s="365"/>
    </row>
    <row r="95" spans="1:40" s="368" customFormat="1" ht="68.25" customHeight="1">
      <c r="A95" s="369">
        <v>5</v>
      </c>
      <c r="B95" s="470" t="s">
        <v>222</v>
      </c>
      <c r="C95" s="369">
        <v>51</v>
      </c>
      <c r="D95" s="369">
        <v>81</v>
      </c>
      <c r="E95" s="369">
        <v>654.8</v>
      </c>
      <c r="F95" s="369" t="s">
        <v>0</v>
      </c>
      <c r="G95" s="471" t="s">
        <v>37</v>
      </c>
      <c r="H95" s="472"/>
      <c r="I95" s="397">
        <v>654.8</v>
      </c>
      <c r="J95" s="356"/>
      <c r="K95" s="357"/>
      <c r="L95" s="395">
        <f t="shared" si="29"/>
        <v>654.8</v>
      </c>
      <c r="M95" s="419">
        <f>L95</f>
        <v>654.8</v>
      </c>
      <c r="N95" s="396">
        <v>60000</v>
      </c>
      <c r="O95" s="396">
        <f t="shared" si="38"/>
        <v>39288000</v>
      </c>
      <c r="P95" s="395" t="s">
        <v>30</v>
      </c>
      <c r="Q95" s="395">
        <f t="shared" si="39"/>
        <v>654.8</v>
      </c>
      <c r="R95" s="395" t="s">
        <v>243</v>
      </c>
      <c r="S95" s="396">
        <v>9500</v>
      </c>
      <c r="T95" s="396">
        <f t="shared" si="40"/>
        <v>6220600</v>
      </c>
      <c r="U95" s="494">
        <v>1</v>
      </c>
      <c r="V95" s="396">
        <f t="shared" si="41"/>
        <v>6548000</v>
      </c>
      <c r="W95" s="396">
        <f t="shared" si="42"/>
        <v>117864000</v>
      </c>
      <c r="X95" s="396">
        <f t="shared" si="43"/>
        <v>3</v>
      </c>
      <c r="Y95" s="473">
        <f t="shared" si="44"/>
        <v>10500000</v>
      </c>
      <c r="Z95" s="474">
        <f t="shared" si="45"/>
        <v>180420600</v>
      </c>
      <c r="AA95" s="363">
        <f t="shared" si="46"/>
        <v>180420600</v>
      </c>
      <c r="AB95" s="369"/>
      <c r="AC95" s="365"/>
      <c r="AD95" s="365"/>
      <c r="AE95" s="365"/>
      <c r="AF95" s="365"/>
      <c r="AG95" s="365"/>
      <c r="AH95" s="365"/>
      <c r="AI95" s="365"/>
      <c r="AJ95" s="365"/>
      <c r="AK95" s="365"/>
      <c r="AL95" s="365"/>
      <c r="AM95" s="365"/>
      <c r="AN95" s="365"/>
    </row>
    <row r="96" spans="1:40" s="368" customFormat="1" ht="68.25" customHeight="1">
      <c r="A96" s="350">
        <v>6</v>
      </c>
      <c r="B96" s="378" t="s">
        <v>208</v>
      </c>
      <c r="C96" s="350">
        <v>71</v>
      </c>
      <c r="D96" s="350">
        <v>81</v>
      </c>
      <c r="E96" s="350">
        <v>965.6</v>
      </c>
      <c r="F96" s="350" t="s">
        <v>0</v>
      </c>
      <c r="G96" s="350" t="s">
        <v>37</v>
      </c>
      <c r="H96" s="348">
        <v>965.6</v>
      </c>
      <c r="I96" s="348"/>
      <c r="J96" s="356"/>
      <c r="K96" s="357"/>
      <c r="L96" s="358">
        <f t="shared" si="29"/>
        <v>965.6</v>
      </c>
      <c r="M96" s="1014">
        <f>SUM(L96:L99)</f>
        <v>1168.4</v>
      </c>
      <c r="N96" s="360">
        <v>60000</v>
      </c>
      <c r="O96" s="360">
        <f>L96*N96</f>
        <v>57936000</v>
      </c>
      <c r="P96" s="358" t="s">
        <v>30</v>
      </c>
      <c r="Q96" s="358">
        <f>L96</f>
        <v>965.6</v>
      </c>
      <c r="R96" s="358" t="s">
        <v>241</v>
      </c>
      <c r="S96" s="360">
        <v>9500</v>
      </c>
      <c r="T96" s="360">
        <f>Q96*S96</f>
        <v>9173200</v>
      </c>
      <c r="U96" s="494">
        <v>1</v>
      </c>
      <c r="V96" s="360">
        <f>L96*10000</f>
        <v>9656000</v>
      </c>
      <c r="W96" s="360">
        <f>L96*N96*3</f>
        <v>173808000</v>
      </c>
      <c r="X96" s="360">
        <f>INT(M96/176.4)</f>
        <v>6</v>
      </c>
      <c r="Y96" s="361">
        <f t="shared" si="44"/>
        <v>21000000</v>
      </c>
      <c r="Z96" s="360">
        <f t="shared" si="45"/>
        <v>271573200</v>
      </c>
      <c r="AA96" s="373">
        <f t="shared" si="46"/>
        <v>271573200</v>
      </c>
      <c r="AB96" s="350"/>
      <c r="AC96" s="365"/>
      <c r="AD96" s="365"/>
      <c r="AE96" s="365"/>
      <c r="AF96" s="365"/>
      <c r="AG96" s="365"/>
      <c r="AH96" s="365"/>
      <c r="AI96" s="365"/>
      <c r="AJ96" s="365"/>
      <c r="AK96" s="365"/>
      <c r="AL96" s="365"/>
      <c r="AM96" s="365"/>
      <c r="AN96" s="365"/>
    </row>
    <row r="97" spans="1:40" s="405" customFormat="1" ht="68.25" customHeight="1">
      <c r="A97" s="401">
        <v>6</v>
      </c>
      <c r="B97" s="402" t="s">
        <v>208</v>
      </c>
      <c r="C97" s="414">
        <v>48</v>
      </c>
      <c r="D97" s="414">
        <v>81</v>
      </c>
      <c r="E97" s="404">
        <v>1005.3</v>
      </c>
      <c r="F97" s="414" t="s">
        <v>0</v>
      </c>
      <c r="G97" s="433" t="s">
        <v>37</v>
      </c>
      <c r="H97" s="434"/>
      <c r="I97" s="416">
        <f>6</f>
        <v>6</v>
      </c>
      <c r="J97" s="356"/>
      <c r="K97" s="357"/>
      <c r="L97" s="417">
        <f t="shared" si="29"/>
        <v>6</v>
      </c>
      <c r="M97" s="1014"/>
      <c r="N97" s="418">
        <v>60000</v>
      </c>
      <c r="O97" s="418">
        <f>L97*N97</f>
        <v>360000</v>
      </c>
      <c r="P97" s="417" t="s">
        <v>30</v>
      </c>
      <c r="Q97" s="417">
        <f>L97</f>
        <v>6</v>
      </c>
      <c r="R97" s="417" t="s">
        <v>243</v>
      </c>
      <c r="S97" s="418">
        <v>9500</v>
      </c>
      <c r="T97" s="418">
        <f>Q97*S97</f>
        <v>57000</v>
      </c>
      <c r="U97" s="494">
        <v>1</v>
      </c>
      <c r="V97" s="418">
        <f>L97*10000</f>
        <v>60000</v>
      </c>
      <c r="W97" s="418">
        <f>L97*N97*3</f>
        <v>1080000</v>
      </c>
      <c r="X97" s="418">
        <f>INT(M97/176.4)</f>
        <v>0</v>
      </c>
      <c r="Y97" s="408">
        <f t="shared" si="44"/>
        <v>0</v>
      </c>
      <c r="Z97" s="407">
        <f t="shared" si="45"/>
        <v>1557000</v>
      </c>
      <c r="AA97" s="476">
        <f t="shared" si="46"/>
        <v>1557000</v>
      </c>
      <c r="AB97" s="401" t="s">
        <v>71</v>
      </c>
      <c r="AC97" s="411"/>
      <c r="AD97" s="411"/>
      <c r="AE97" s="411"/>
      <c r="AF97" s="411"/>
      <c r="AG97" s="411"/>
      <c r="AH97" s="411"/>
      <c r="AI97" s="411" t="s">
        <v>264</v>
      </c>
      <c r="AJ97" s="411"/>
      <c r="AK97" s="411"/>
      <c r="AL97" s="411"/>
      <c r="AM97" s="411"/>
      <c r="AN97" s="411"/>
    </row>
    <row r="98" spans="1:40" s="405" customFormat="1" ht="68.25" customHeight="1">
      <c r="A98" s="401">
        <v>6</v>
      </c>
      <c r="B98" s="402" t="s">
        <v>208</v>
      </c>
      <c r="C98" s="401">
        <v>279</v>
      </c>
      <c r="D98" s="401">
        <v>72</v>
      </c>
      <c r="E98" s="401">
        <v>170.6</v>
      </c>
      <c r="F98" s="401" t="s">
        <v>45</v>
      </c>
      <c r="G98" s="401" t="s">
        <v>44</v>
      </c>
      <c r="H98" s="403"/>
      <c r="I98" s="404">
        <v>170.6</v>
      </c>
      <c r="J98" s="356"/>
      <c r="K98" s="357"/>
      <c r="L98" s="406">
        <f t="shared" si="29"/>
        <v>170.6</v>
      </c>
      <c r="M98" s="1014"/>
      <c r="N98" s="407">
        <v>60000</v>
      </c>
      <c r="O98" s="407">
        <f>L98*N98</f>
        <v>10236000</v>
      </c>
      <c r="P98" s="406" t="s">
        <v>30</v>
      </c>
      <c r="Q98" s="406">
        <v>168.1</v>
      </c>
      <c r="R98" s="406" t="s">
        <v>241</v>
      </c>
      <c r="S98" s="407">
        <v>9500</v>
      </c>
      <c r="T98" s="407">
        <f>Q98*S98</f>
        <v>1596950</v>
      </c>
      <c r="U98" s="494">
        <v>1</v>
      </c>
      <c r="V98" s="407">
        <f>L98*10000</f>
        <v>1706000</v>
      </c>
      <c r="W98" s="407">
        <f>L98*N98*3</f>
        <v>30708000</v>
      </c>
      <c r="X98" s="407">
        <f>INT(M98/176.4)</f>
        <v>0</v>
      </c>
      <c r="Y98" s="408">
        <f t="shared" si="44"/>
        <v>0</v>
      </c>
      <c r="Z98" s="407">
        <f t="shared" si="45"/>
        <v>44246950</v>
      </c>
      <c r="AA98" s="476">
        <f t="shared" si="46"/>
        <v>44246950</v>
      </c>
      <c r="AB98" s="401"/>
      <c r="AC98" s="411"/>
      <c r="AD98" s="411"/>
      <c r="AE98" s="411"/>
      <c r="AF98" s="411"/>
      <c r="AG98" s="411"/>
      <c r="AH98" s="411" t="s">
        <v>280</v>
      </c>
      <c r="AI98" s="411"/>
      <c r="AJ98" s="411" t="s">
        <v>259</v>
      </c>
      <c r="AK98" s="411"/>
      <c r="AL98" s="411"/>
      <c r="AM98" s="411"/>
      <c r="AN98" s="411"/>
    </row>
    <row r="99" spans="1:40" s="368" customFormat="1" ht="68.25" customHeight="1">
      <c r="A99" s="350">
        <v>6</v>
      </c>
      <c r="B99" s="378" t="s">
        <v>208</v>
      </c>
      <c r="C99" s="350">
        <v>54</v>
      </c>
      <c r="D99" s="350">
        <v>72</v>
      </c>
      <c r="E99" s="350">
        <v>26.2</v>
      </c>
      <c r="F99" s="350" t="s">
        <v>45</v>
      </c>
      <c r="G99" s="350" t="s">
        <v>44</v>
      </c>
      <c r="H99" s="356"/>
      <c r="I99" s="348">
        <v>26.2</v>
      </c>
      <c r="J99" s="356"/>
      <c r="K99" s="357"/>
      <c r="L99" s="358">
        <f t="shared" si="29"/>
        <v>26.2</v>
      </c>
      <c r="M99" s="1014"/>
      <c r="N99" s="360">
        <v>60000</v>
      </c>
      <c r="O99" s="360">
        <f>L99*N99</f>
        <v>1572000</v>
      </c>
      <c r="P99" s="358" t="s">
        <v>30</v>
      </c>
      <c r="Q99" s="358">
        <f>L99</f>
        <v>26.2</v>
      </c>
      <c r="R99" s="358" t="s">
        <v>241</v>
      </c>
      <c r="S99" s="360">
        <v>9500</v>
      </c>
      <c r="T99" s="360">
        <f>Q99*S99</f>
        <v>248900</v>
      </c>
      <c r="U99" s="494">
        <v>1</v>
      </c>
      <c r="V99" s="360">
        <f>L99*10000</f>
        <v>262000</v>
      </c>
      <c r="W99" s="360">
        <f>L99*N99*3</f>
        <v>4716000</v>
      </c>
      <c r="X99" s="360">
        <f>INT(M99/176.4)</f>
        <v>0</v>
      </c>
      <c r="Y99" s="361">
        <f t="shared" si="44"/>
        <v>0</v>
      </c>
      <c r="Z99" s="360">
        <f t="shared" si="45"/>
        <v>6798900</v>
      </c>
      <c r="AA99" s="373">
        <f t="shared" si="46"/>
        <v>6798900</v>
      </c>
      <c r="AB99" s="350"/>
      <c r="AC99" s="365"/>
      <c r="AD99" s="365"/>
      <c r="AE99" s="365"/>
      <c r="AF99" s="365"/>
      <c r="AG99" s="365"/>
      <c r="AH99" s="365"/>
      <c r="AI99" s="365"/>
      <c r="AJ99" s="365"/>
      <c r="AK99" s="365"/>
      <c r="AL99" s="365"/>
      <c r="AM99" s="365"/>
      <c r="AN99" s="365"/>
    </row>
    <row r="100" spans="1:40" s="478" customFormat="1" ht="92.25" customHeight="1">
      <c r="A100" s="231">
        <v>7</v>
      </c>
      <c r="B100" s="440" t="s">
        <v>281</v>
      </c>
      <c r="C100" s="439">
        <v>58</v>
      </c>
      <c r="D100" s="439">
        <v>81</v>
      </c>
      <c r="E100" s="439">
        <v>126.3</v>
      </c>
      <c r="F100" s="439" t="s">
        <v>45</v>
      </c>
      <c r="G100" s="439" t="s">
        <v>37</v>
      </c>
      <c r="H100" s="475"/>
      <c r="I100" s="233">
        <v>26.3</v>
      </c>
      <c r="J100" s="356"/>
      <c r="K100" s="357"/>
      <c r="L100" s="231">
        <f t="shared" si="29"/>
        <v>26.3</v>
      </c>
      <c r="M100" s="231">
        <f>L100</f>
        <v>26.3</v>
      </c>
      <c r="N100" s="407">
        <v>60000</v>
      </c>
      <c r="O100" s="407">
        <f>L100*N100</f>
        <v>1578000</v>
      </c>
      <c r="P100" s="406" t="s">
        <v>30</v>
      </c>
      <c r="Q100" s="406">
        <f>I100</f>
        <v>26.3</v>
      </c>
      <c r="R100" s="406" t="s">
        <v>241</v>
      </c>
      <c r="S100" s="418">
        <f>S99</f>
        <v>9500</v>
      </c>
      <c r="T100" s="407">
        <f>Q100*S100</f>
        <v>249850</v>
      </c>
      <c r="U100" s="494">
        <v>1</v>
      </c>
      <c r="V100" s="407">
        <f>L100*10000</f>
        <v>263000</v>
      </c>
      <c r="W100" s="407">
        <f>L100*N100*3</f>
        <v>4734000</v>
      </c>
      <c r="X100" s="407">
        <f>INT(M100/176.4)</f>
        <v>0</v>
      </c>
      <c r="Y100" s="408">
        <f t="shared" si="44"/>
        <v>0</v>
      </c>
      <c r="Z100" s="407">
        <f t="shared" si="45"/>
        <v>6824850</v>
      </c>
      <c r="AA100" s="476">
        <f t="shared" si="46"/>
        <v>6824850</v>
      </c>
      <c r="AB100" s="401" t="s">
        <v>269</v>
      </c>
      <c r="AC100" s="477"/>
      <c r="AD100" s="477"/>
      <c r="AE100" s="477"/>
      <c r="AF100" s="477"/>
      <c r="AG100" s="477"/>
      <c r="AH100" s="477"/>
      <c r="AI100" s="477"/>
      <c r="AJ100" s="477"/>
      <c r="AK100" s="477"/>
      <c r="AL100" s="477"/>
      <c r="AM100" s="477"/>
      <c r="AN100" s="477"/>
    </row>
    <row r="101" spans="1:24" s="35" customFormat="1" ht="78" customHeight="1">
      <c r="A101" s="485"/>
      <c r="B101" s="486"/>
      <c r="J101" s="483"/>
      <c r="K101" s="487"/>
      <c r="L101" s="488"/>
      <c r="X101" s="488"/>
    </row>
    <row r="102" ht="78" customHeight="1"/>
    <row r="103" ht="78" customHeight="1"/>
    <row r="104" ht="78" customHeight="1"/>
    <row r="105" ht="78" customHeight="1"/>
    <row r="106" ht="78" customHeight="1"/>
    <row r="107" ht="78" customHeight="1"/>
  </sheetData>
  <sheetProtection/>
  <autoFilter ref="A7:AB100"/>
  <mergeCells count="35">
    <mergeCell ref="M62:M66"/>
    <mergeCell ref="M75:M76"/>
    <mergeCell ref="M16:M23"/>
    <mergeCell ref="M24:M29"/>
    <mergeCell ref="M45:M50"/>
    <mergeCell ref="P5:U5"/>
    <mergeCell ref="AB20:AB23"/>
    <mergeCell ref="A8:B8"/>
    <mergeCell ref="G5:G6"/>
    <mergeCell ref="H5:I5"/>
    <mergeCell ref="V5:Y5"/>
    <mergeCell ref="J5:K5"/>
    <mergeCell ref="L5:L6"/>
    <mergeCell ref="M5:M6"/>
    <mergeCell ref="N5:O5"/>
    <mergeCell ref="M10:M12"/>
    <mergeCell ref="A1:AB1"/>
    <mergeCell ref="A2:AB2"/>
    <mergeCell ref="A4:AB4"/>
    <mergeCell ref="A5:A6"/>
    <mergeCell ref="B5:B6"/>
    <mergeCell ref="Z5:Z6"/>
    <mergeCell ref="AA5:AA6"/>
    <mergeCell ref="AB5:AB6"/>
    <mergeCell ref="C5:F5"/>
    <mergeCell ref="M96:M99"/>
    <mergeCell ref="M30:M31"/>
    <mergeCell ref="M84:M88"/>
    <mergeCell ref="M77:M78"/>
    <mergeCell ref="M79:M80"/>
    <mergeCell ref="M90:M93"/>
    <mergeCell ref="M35:M40"/>
    <mergeCell ref="M53:M55"/>
    <mergeCell ref="M56:M60"/>
    <mergeCell ref="M72:M73"/>
  </mergeCells>
  <printOptions/>
  <pageMargins left="0.393700787401575" right="0.393700787401575" top="0.393700787401575" bottom="0.393700787401575" header="0.118109142607174" footer="0.118109142607174"/>
  <pageSetup horizontalDpi="600" verticalDpi="600" orientation="landscape" paperSize="8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96"/>
  <sheetViews>
    <sheetView view="pageBreakPreview" zoomScale="60" zoomScaleNormal="60" zoomScalePageLayoutView="0" workbookViewId="0" topLeftCell="A1">
      <selection activeCell="A9" sqref="A9:B9"/>
    </sheetView>
  </sheetViews>
  <sheetFormatPr defaultColWidth="9.140625" defaultRowHeight="12.75"/>
  <cols>
    <col min="1" max="1" width="6.00390625" style="153" customWidth="1"/>
    <col min="2" max="2" width="49.00390625" style="153" customWidth="1"/>
    <col min="3" max="11" width="9.8515625" style="153" customWidth="1"/>
    <col min="12" max="13" width="12.57421875" style="174" customWidth="1"/>
    <col min="14" max="15" width="12.57421875" style="153" customWidth="1"/>
    <col min="16" max="16" width="9.8515625" style="174" customWidth="1"/>
    <col min="17" max="19" width="9.8515625" style="153" customWidth="1"/>
    <col min="20" max="20" width="9.28125" style="153" hidden="1" customWidth="1"/>
    <col min="21" max="21" width="0.5625" style="153" hidden="1" customWidth="1"/>
    <col min="22" max="22" width="7.421875" style="153" hidden="1" customWidth="1"/>
    <col min="23" max="16384" width="8.8515625" style="153" customWidth="1"/>
  </cols>
  <sheetData>
    <row r="1" spans="1:22" ht="27.75" customHeight="1">
      <c r="A1" s="1027" t="s">
        <v>204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7"/>
      <c r="U1" s="1027"/>
      <c r="V1" s="1027"/>
    </row>
    <row r="2" spans="1:22" ht="27.75" customHeight="1">
      <c r="A2" s="1028" t="s">
        <v>134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8"/>
      <c r="R2" s="1028"/>
      <c r="S2" s="1028"/>
      <c r="T2" s="1028"/>
      <c r="U2" s="1028"/>
      <c r="V2" s="1028"/>
    </row>
    <row r="3" spans="1:22" ht="27.75" customHeight="1">
      <c r="A3" s="1027" t="s">
        <v>135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</row>
    <row r="4" spans="1:22" ht="27.75" customHeight="1">
      <c r="A4" s="1029" t="s">
        <v>205</v>
      </c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</row>
    <row r="5" spans="1:19" s="323" customFormat="1" ht="63" customHeight="1">
      <c r="A5" s="1030" t="s">
        <v>136</v>
      </c>
      <c r="B5" s="1031" t="s">
        <v>137</v>
      </c>
      <c r="C5" s="1033" t="s">
        <v>138</v>
      </c>
      <c r="D5" s="1034"/>
      <c r="E5" s="1034"/>
      <c r="F5" s="1035"/>
      <c r="G5" s="1033" t="s">
        <v>139</v>
      </c>
      <c r="H5" s="1034"/>
      <c r="I5" s="1034"/>
      <c r="J5" s="1034"/>
      <c r="K5" s="1035"/>
      <c r="L5" s="1036" t="s">
        <v>148</v>
      </c>
      <c r="M5" s="1037"/>
      <c r="N5" s="1036" t="s">
        <v>149</v>
      </c>
      <c r="O5" s="1037"/>
      <c r="P5" s="1038" t="s">
        <v>182</v>
      </c>
      <c r="Q5" s="1040" t="s">
        <v>183</v>
      </c>
      <c r="R5" s="1040" t="s">
        <v>140</v>
      </c>
      <c r="S5" s="1040" t="s">
        <v>7</v>
      </c>
    </row>
    <row r="6" spans="1:19" s="328" customFormat="1" ht="156" customHeight="1">
      <c r="A6" s="1030"/>
      <c r="B6" s="1032"/>
      <c r="C6" s="156" t="s">
        <v>141</v>
      </c>
      <c r="D6" s="156" t="s">
        <v>142</v>
      </c>
      <c r="E6" s="156" t="s">
        <v>203</v>
      </c>
      <c r="F6" s="157" t="s">
        <v>143</v>
      </c>
      <c r="G6" s="321" t="s">
        <v>142</v>
      </c>
      <c r="H6" s="156" t="s">
        <v>141</v>
      </c>
      <c r="I6" s="156" t="s">
        <v>203</v>
      </c>
      <c r="J6" s="156" t="s">
        <v>144</v>
      </c>
      <c r="K6" s="158" t="s">
        <v>9</v>
      </c>
      <c r="L6" s="324" t="s">
        <v>202</v>
      </c>
      <c r="M6" s="325" t="s">
        <v>146</v>
      </c>
      <c r="N6" s="326" t="s">
        <v>202</v>
      </c>
      <c r="O6" s="327" t="s">
        <v>146</v>
      </c>
      <c r="P6" s="1039"/>
      <c r="Q6" s="1041"/>
      <c r="R6" s="1041"/>
      <c r="S6" s="1041"/>
    </row>
    <row r="7" spans="1:19" ht="29.25" customHeight="1">
      <c r="A7" s="159">
        <v>1</v>
      </c>
      <c r="B7" s="148">
        <v>2</v>
      </c>
      <c r="C7" s="159">
        <v>3</v>
      </c>
      <c r="D7" s="148">
        <v>4</v>
      </c>
      <c r="E7" s="159">
        <v>5</v>
      </c>
      <c r="F7" s="148">
        <v>6</v>
      </c>
      <c r="G7" s="159">
        <v>7</v>
      </c>
      <c r="H7" s="148">
        <v>8</v>
      </c>
      <c r="I7" s="159">
        <v>9</v>
      </c>
      <c r="J7" s="148">
        <v>10</v>
      </c>
      <c r="K7" s="159">
        <v>11</v>
      </c>
      <c r="L7" s="160"/>
      <c r="M7" s="160"/>
      <c r="N7" s="159"/>
      <c r="O7" s="159"/>
      <c r="P7" s="175">
        <v>16</v>
      </c>
      <c r="Q7" s="159">
        <v>17</v>
      </c>
      <c r="R7" s="148">
        <v>18</v>
      </c>
      <c r="S7" s="159">
        <v>19</v>
      </c>
    </row>
    <row r="8" spans="1:27" ht="32.25" customHeight="1">
      <c r="A8" s="1042" t="s">
        <v>145</v>
      </c>
      <c r="B8" s="1043"/>
      <c r="C8" s="1043"/>
      <c r="D8" s="1043"/>
      <c r="E8" s="1043"/>
      <c r="F8" s="1043"/>
      <c r="G8" s="1044"/>
      <c r="H8" s="161"/>
      <c r="I8" s="161"/>
      <c r="J8" s="161"/>
      <c r="K8" s="161"/>
      <c r="L8" s="138">
        <f aca="true" t="shared" si="0" ref="L8:Q8">L9+L38+L85+L93</f>
        <v>8893</v>
      </c>
      <c r="M8" s="138">
        <f t="shared" si="0"/>
        <v>6047.000000000001</v>
      </c>
      <c r="N8" s="138">
        <f t="shared" si="0"/>
        <v>16.5</v>
      </c>
      <c r="O8" s="138">
        <f t="shared" si="0"/>
        <v>136.1</v>
      </c>
      <c r="P8" s="138">
        <f t="shared" si="0"/>
        <v>15092.6</v>
      </c>
      <c r="Q8" s="138">
        <f t="shared" si="0"/>
        <v>15092.6</v>
      </c>
      <c r="R8" s="162"/>
      <c r="S8" s="140"/>
      <c r="AA8" s="174">
        <f>L8+N8</f>
        <v>8909.5</v>
      </c>
    </row>
    <row r="9" spans="1:27" ht="59.25" customHeight="1">
      <c r="A9" s="879" t="s">
        <v>185</v>
      </c>
      <c r="B9" s="881"/>
      <c r="C9" s="129"/>
      <c r="D9" s="129"/>
      <c r="E9" s="129"/>
      <c r="F9" s="129"/>
      <c r="G9" s="163"/>
      <c r="H9" s="320"/>
      <c r="I9" s="138">
        <f>SUM(I10:I37)</f>
        <v>7434.099999999999</v>
      </c>
      <c r="J9" s="138"/>
      <c r="K9" s="138"/>
      <c r="L9" s="138">
        <f aca="true" t="shared" si="1" ref="L9:Q9">SUM(L10:L37)</f>
        <v>4439.5</v>
      </c>
      <c r="M9" s="138">
        <f t="shared" si="1"/>
        <v>125.79999999999995</v>
      </c>
      <c r="N9" s="138">
        <f t="shared" si="1"/>
        <v>0.7999999999999999</v>
      </c>
      <c r="O9" s="138">
        <f t="shared" si="1"/>
        <v>0</v>
      </c>
      <c r="P9" s="164">
        <f t="shared" si="1"/>
        <v>4566.099999999999</v>
      </c>
      <c r="Q9" s="165">
        <f t="shared" si="1"/>
        <v>4566.099999999999</v>
      </c>
      <c r="R9" s="139"/>
      <c r="S9" s="140"/>
      <c r="AA9" s="174">
        <f>M8+O8</f>
        <v>6183.100000000001</v>
      </c>
    </row>
    <row r="10" spans="1:19" ht="59.25" customHeight="1">
      <c r="A10" s="1">
        <v>1</v>
      </c>
      <c r="B10" s="18" t="s">
        <v>154</v>
      </c>
      <c r="C10" s="105" t="s">
        <v>109</v>
      </c>
      <c r="D10" s="108">
        <v>8</v>
      </c>
      <c r="E10" s="109">
        <v>392.5</v>
      </c>
      <c r="F10" s="133" t="s">
        <v>0</v>
      </c>
      <c r="G10" s="106">
        <v>71</v>
      </c>
      <c r="H10" s="106">
        <v>54</v>
      </c>
      <c r="I10" s="107">
        <v>400.6</v>
      </c>
      <c r="J10" s="133" t="s">
        <v>0</v>
      </c>
      <c r="K10" s="32" t="s">
        <v>32</v>
      </c>
      <c r="L10" s="109">
        <v>392.5</v>
      </c>
      <c r="M10" s="109">
        <v>8.1</v>
      </c>
      <c r="N10" s="109"/>
      <c r="O10" s="109"/>
      <c r="P10" s="152">
        <f>L10+M10+N10+O10</f>
        <v>400.6</v>
      </c>
      <c r="Q10" s="166">
        <f>SUM(P10:P16)</f>
        <v>717.8000000000001</v>
      </c>
      <c r="R10" s="167" t="s">
        <v>0</v>
      </c>
      <c r="S10" s="30"/>
    </row>
    <row r="11" spans="1:19" ht="59.25" customHeight="1">
      <c r="A11" s="30">
        <v>1</v>
      </c>
      <c r="B11" s="18" t="s">
        <v>154</v>
      </c>
      <c r="C11" s="32" t="s">
        <v>108</v>
      </c>
      <c r="D11" s="108">
        <v>8</v>
      </c>
      <c r="E11" s="109">
        <v>126.7</v>
      </c>
      <c r="F11" s="134" t="s">
        <v>0</v>
      </c>
      <c r="G11" s="106">
        <v>71</v>
      </c>
      <c r="H11" s="106">
        <v>71</v>
      </c>
      <c r="I11" s="107">
        <v>126.7</v>
      </c>
      <c r="J11" s="134" t="s">
        <v>0</v>
      </c>
      <c r="K11" s="32" t="s">
        <v>32</v>
      </c>
      <c r="L11" s="109">
        <v>126.7</v>
      </c>
      <c r="M11" s="109"/>
      <c r="N11" s="109"/>
      <c r="O11" s="109"/>
      <c r="P11" s="152">
        <f aca="true" t="shared" si="2" ref="P11:P37">L11+M11+N11+O11</f>
        <v>126.7</v>
      </c>
      <c r="Q11" s="168"/>
      <c r="R11" s="167" t="s">
        <v>0</v>
      </c>
      <c r="S11" s="30"/>
    </row>
    <row r="12" spans="1:19" ht="59.25" customHeight="1">
      <c r="A12" s="30">
        <v>1</v>
      </c>
      <c r="B12" s="18" t="s">
        <v>154</v>
      </c>
      <c r="C12" s="32" t="s">
        <v>108</v>
      </c>
      <c r="D12" s="108">
        <v>8</v>
      </c>
      <c r="E12" s="109">
        <v>109.60000000000001</v>
      </c>
      <c r="F12" s="133" t="s">
        <v>0</v>
      </c>
      <c r="G12" s="106">
        <v>71</v>
      </c>
      <c r="H12" s="106">
        <v>72</v>
      </c>
      <c r="I12" s="135">
        <v>135.9</v>
      </c>
      <c r="J12" s="134" t="s">
        <v>0</v>
      </c>
      <c r="K12" s="32" t="s">
        <v>32</v>
      </c>
      <c r="L12" s="109">
        <v>109.60000000000001</v>
      </c>
      <c r="M12" s="109">
        <v>26.3</v>
      </c>
      <c r="N12" s="109"/>
      <c r="O12" s="109"/>
      <c r="P12" s="152">
        <f t="shared" si="2"/>
        <v>135.9</v>
      </c>
      <c r="Q12" s="168"/>
      <c r="R12" s="167" t="s">
        <v>0</v>
      </c>
      <c r="S12" s="124" t="s">
        <v>71</v>
      </c>
    </row>
    <row r="13" spans="1:19" ht="59.25" customHeight="1">
      <c r="A13" s="30">
        <v>1</v>
      </c>
      <c r="B13" s="18" t="s">
        <v>154</v>
      </c>
      <c r="C13" s="105"/>
      <c r="D13" s="32"/>
      <c r="E13" s="109"/>
      <c r="F13" s="109"/>
      <c r="G13" s="95">
        <v>71</v>
      </c>
      <c r="H13" s="95">
        <v>56</v>
      </c>
      <c r="I13" s="95">
        <v>263</v>
      </c>
      <c r="J13" s="134" t="s">
        <v>0</v>
      </c>
      <c r="K13" s="32" t="s">
        <v>32</v>
      </c>
      <c r="L13" s="109"/>
      <c r="M13" s="109">
        <v>40.7</v>
      </c>
      <c r="N13" s="109"/>
      <c r="O13" s="109"/>
      <c r="P13" s="152">
        <f t="shared" si="2"/>
        <v>40.7</v>
      </c>
      <c r="Q13" s="168"/>
      <c r="R13" s="167" t="s">
        <v>0</v>
      </c>
      <c r="S13" s="37" t="s">
        <v>71</v>
      </c>
    </row>
    <row r="14" spans="1:19" ht="59.25" customHeight="1">
      <c r="A14" s="30">
        <v>1</v>
      </c>
      <c r="B14" s="18" t="s">
        <v>154</v>
      </c>
      <c r="C14" s="32"/>
      <c r="D14" s="32"/>
      <c r="E14" s="109"/>
      <c r="F14" s="109"/>
      <c r="G14" s="136">
        <v>71</v>
      </c>
      <c r="H14" s="135">
        <v>57</v>
      </c>
      <c r="I14" s="135">
        <v>313.9</v>
      </c>
      <c r="J14" s="134" t="s">
        <v>0</v>
      </c>
      <c r="K14" s="32" t="s">
        <v>32</v>
      </c>
      <c r="L14" s="109"/>
      <c r="M14" s="109">
        <v>2.2</v>
      </c>
      <c r="N14" s="109"/>
      <c r="O14" s="109"/>
      <c r="P14" s="152">
        <f t="shared" si="2"/>
        <v>2.2</v>
      </c>
      <c r="Q14" s="168"/>
      <c r="R14" s="167" t="s">
        <v>0</v>
      </c>
      <c r="S14" s="37" t="s">
        <v>71</v>
      </c>
    </row>
    <row r="15" spans="1:19" ht="59.25" customHeight="1">
      <c r="A15" s="30">
        <v>1</v>
      </c>
      <c r="B15" s="18" t="s">
        <v>154</v>
      </c>
      <c r="C15" s="32"/>
      <c r="D15" s="32"/>
      <c r="E15" s="109"/>
      <c r="F15" s="109"/>
      <c r="G15" s="136">
        <v>71</v>
      </c>
      <c r="H15" s="135">
        <v>125</v>
      </c>
      <c r="I15" s="135">
        <v>58.1</v>
      </c>
      <c r="J15" s="134" t="s">
        <v>101</v>
      </c>
      <c r="K15" s="32" t="s">
        <v>32</v>
      </c>
      <c r="L15" s="109"/>
      <c r="M15" s="109">
        <v>3.3</v>
      </c>
      <c r="N15" s="32"/>
      <c r="O15" s="109"/>
      <c r="P15" s="152">
        <f t="shared" si="2"/>
        <v>3.3</v>
      </c>
      <c r="Q15" s="168"/>
      <c r="R15" s="167" t="s">
        <v>0</v>
      </c>
      <c r="S15" s="37"/>
    </row>
    <row r="16" spans="1:19" ht="59.25" customHeight="1">
      <c r="A16" s="30">
        <v>1</v>
      </c>
      <c r="B16" s="18" t="s">
        <v>154</v>
      </c>
      <c r="C16" s="105"/>
      <c r="D16" s="32"/>
      <c r="E16" s="109"/>
      <c r="F16" s="109"/>
      <c r="G16" s="106">
        <v>71</v>
      </c>
      <c r="H16" s="106">
        <v>73</v>
      </c>
      <c r="I16" s="107">
        <v>325.9</v>
      </c>
      <c r="J16" s="134" t="s">
        <v>0</v>
      </c>
      <c r="K16" s="32" t="s">
        <v>32</v>
      </c>
      <c r="L16" s="109"/>
      <c r="M16" s="109">
        <v>8.4</v>
      </c>
      <c r="N16" s="92"/>
      <c r="O16" s="109"/>
      <c r="P16" s="152">
        <f t="shared" si="2"/>
        <v>8.4</v>
      </c>
      <c r="Q16" s="169"/>
      <c r="R16" s="167" t="s">
        <v>0</v>
      </c>
      <c r="S16" s="125" t="s">
        <v>71</v>
      </c>
    </row>
    <row r="17" spans="1:19" ht="59.25" customHeight="1">
      <c r="A17" s="36">
        <v>2</v>
      </c>
      <c r="B17" s="71" t="s">
        <v>155</v>
      </c>
      <c r="C17" s="108" t="s">
        <v>110</v>
      </c>
      <c r="D17" s="108">
        <v>8</v>
      </c>
      <c r="E17" s="109">
        <v>189.2</v>
      </c>
      <c r="F17" s="134" t="s">
        <v>0</v>
      </c>
      <c r="G17" s="95">
        <v>71</v>
      </c>
      <c r="H17" s="95">
        <v>56</v>
      </c>
      <c r="I17" s="95">
        <v>263</v>
      </c>
      <c r="J17" s="134" t="s">
        <v>0</v>
      </c>
      <c r="K17" s="32" t="s">
        <v>32</v>
      </c>
      <c r="L17" s="109">
        <v>189.2</v>
      </c>
      <c r="M17" s="109"/>
      <c r="N17" s="109"/>
      <c r="O17" s="109"/>
      <c r="P17" s="152">
        <f t="shared" si="2"/>
        <v>189.2</v>
      </c>
      <c r="Q17" s="170">
        <f>P17</f>
        <v>189.2</v>
      </c>
      <c r="R17" s="167" t="s">
        <v>0</v>
      </c>
      <c r="S17" s="37" t="s">
        <v>71</v>
      </c>
    </row>
    <row r="18" spans="1:19" ht="59.25" customHeight="1">
      <c r="A18" s="36">
        <v>3</v>
      </c>
      <c r="B18" s="101" t="s">
        <v>156</v>
      </c>
      <c r="C18" s="108" t="s">
        <v>111</v>
      </c>
      <c r="D18" s="108">
        <v>8</v>
      </c>
      <c r="E18" s="109">
        <v>251</v>
      </c>
      <c r="F18" s="133" t="s">
        <v>0</v>
      </c>
      <c r="G18" s="136">
        <v>71</v>
      </c>
      <c r="H18" s="135">
        <v>57</v>
      </c>
      <c r="I18" s="135">
        <v>313.9</v>
      </c>
      <c r="J18" s="134" t="s">
        <v>0</v>
      </c>
      <c r="K18" s="32" t="s">
        <v>32</v>
      </c>
      <c r="L18" s="109">
        <v>251</v>
      </c>
      <c r="M18" s="109"/>
      <c r="N18" s="109"/>
      <c r="O18" s="109"/>
      <c r="P18" s="152">
        <f t="shared" si="2"/>
        <v>251</v>
      </c>
      <c r="Q18" s="170">
        <f>P18</f>
        <v>251</v>
      </c>
      <c r="R18" s="167" t="s">
        <v>0</v>
      </c>
      <c r="S18" s="37" t="s">
        <v>71</v>
      </c>
    </row>
    <row r="19" spans="1:19" ht="59.25" customHeight="1">
      <c r="A19" s="36">
        <v>4</v>
      </c>
      <c r="B19" s="71" t="s">
        <v>157</v>
      </c>
      <c r="C19" s="105" t="s">
        <v>112</v>
      </c>
      <c r="D19" s="108">
        <v>8</v>
      </c>
      <c r="E19" s="1045">
        <v>274.3</v>
      </c>
      <c r="F19" s="134" t="s">
        <v>0</v>
      </c>
      <c r="G19" s="95">
        <v>71</v>
      </c>
      <c r="H19" s="95">
        <v>56</v>
      </c>
      <c r="I19" s="95">
        <v>263</v>
      </c>
      <c r="J19" s="134" t="s">
        <v>0</v>
      </c>
      <c r="K19" s="32" t="s">
        <v>32</v>
      </c>
      <c r="L19" s="109">
        <v>33.1</v>
      </c>
      <c r="M19" s="109"/>
      <c r="N19" s="109"/>
      <c r="O19" s="109"/>
      <c r="P19" s="152">
        <f t="shared" si="2"/>
        <v>33.1</v>
      </c>
      <c r="Q19" s="166">
        <f>P19+P20</f>
        <v>274.3</v>
      </c>
      <c r="R19" s="167" t="s">
        <v>0</v>
      </c>
      <c r="S19" s="37" t="s">
        <v>71</v>
      </c>
    </row>
    <row r="20" spans="1:19" ht="59.25" customHeight="1">
      <c r="A20" s="36">
        <v>4</v>
      </c>
      <c r="B20" s="71" t="s">
        <v>157</v>
      </c>
      <c r="C20" s="105" t="s">
        <v>112</v>
      </c>
      <c r="D20" s="108">
        <v>8</v>
      </c>
      <c r="E20" s="1046"/>
      <c r="F20" s="133" t="s">
        <v>0</v>
      </c>
      <c r="G20" s="95">
        <v>71</v>
      </c>
      <c r="H20" s="95">
        <v>55</v>
      </c>
      <c r="I20" s="95">
        <v>241.2</v>
      </c>
      <c r="J20" s="134" t="s">
        <v>0</v>
      </c>
      <c r="K20" s="32" t="s">
        <v>32</v>
      </c>
      <c r="L20" s="109">
        <v>241.2</v>
      </c>
      <c r="M20" s="109"/>
      <c r="N20" s="109"/>
      <c r="O20" s="109"/>
      <c r="P20" s="152">
        <f t="shared" si="2"/>
        <v>241.2</v>
      </c>
      <c r="Q20" s="169"/>
      <c r="R20" s="167" t="s">
        <v>0</v>
      </c>
      <c r="S20" s="37"/>
    </row>
    <row r="21" spans="1:19" ht="59.25" customHeight="1">
      <c r="A21" s="37">
        <v>5</v>
      </c>
      <c r="B21" s="71" t="s">
        <v>35</v>
      </c>
      <c r="C21" s="32" t="s">
        <v>114</v>
      </c>
      <c r="D21" s="108">
        <v>8</v>
      </c>
      <c r="E21" s="109">
        <v>317.6</v>
      </c>
      <c r="F21" s="134" t="s">
        <v>0</v>
      </c>
      <c r="G21" s="95">
        <v>71</v>
      </c>
      <c r="H21" s="95">
        <v>36</v>
      </c>
      <c r="I21" s="136">
        <v>364.4</v>
      </c>
      <c r="J21" s="134" t="s">
        <v>0</v>
      </c>
      <c r="K21" s="32" t="s">
        <v>32</v>
      </c>
      <c r="L21" s="109">
        <v>317.6</v>
      </c>
      <c r="M21" s="109">
        <v>21.299999999999955</v>
      </c>
      <c r="N21" s="109"/>
      <c r="O21" s="109"/>
      <c r="P21" s="152">
        <f t="shared" si="2"/>
        <v>338.9</v>
      </c>
      <c r="Q21" s="170">
        <f>P21</f>
        <v>338.9</v>
      </c>
      <c r="R21" s="167" t="s">
        <v>0</v>
      </c>
      <c r="S21" s="37" t="s">
        <v>71</v>
      </c>
    </row>
    <row r="22" spans="1:19" ht="59.25" customHeight="1">
      <c r="A22" s="36">
        <v>6</v>
      </c>
      <c r="B22" s="71" t="s">
        <v>158</v>
      </c>
      <c r="C22" s="105" t="s">
        <v>115</v>
      </c>
      <c r="D22" s="108">
        <v>8</v>
      </c>
      <c r="E22" s="109">
        <v>436.6</v>
      </c>
      <c r="F22" s="133" t="s">
        <v>0</v>
      </c>
      <c r="G22" s="95">
        <v>71</v>
      </c>
      <c r="H22" s="95">
        <v>90</v>
      </c>
      <c r="I22" s="95">
        <v>397.8</v>
      </c>
      <c r="J22" s="134" t="s">
        <v>0</v>
      </c>
      <c r="K22" s="32" t="s">
        <v>32</v>
      </c>
      <c r="L22" s="109">
        <v>397.8</v>
      </c>
      <c r="M22" s="109"/>
      <c r="N22" s="109"/>
      <c r="O22" s="32"/>
      <c r="P22" s="152">
        <f t="shared" si="2"/>
        <v>397.8</v>
      </c>
      <c r="Q22" s="170">
        <f>P22</f>
        <v>397.8</v>
      </c>
      <c r="R22" s="167" t="s">
        <v>0</v>
      </c>
      <c r="S22" s="37"/>
    </row>
    <row r="23" spans="1:19" ht="59.25" customHeight="1">
      <c r="A23" s="37">
        <v>7</v>
      </c>
      <c r="B23" s="75" t="s">
        <v>197</v>
      </c>
      <c r="C23" s="32" t="s">
        <v>116</v>
      </c>
      <c r="D23" s="108">
        <v>8</v>
      </c>
      <c r="E23" s="109">
        <v>305.3</v>
      </c>
      <c r="F23" s="134" t="s">
        <v>0</v>
      </c>
      <c r="G23" s="95">
        <v>71</v>
      </c>
      <c r="H23" s="95">
        <v>84</v>
      </c>
      <c r="I23" s="95">
        <v>318.8</v>
      </c>
      <c r="J23" s="134" t="s">
        <v>0</v>
      </c>
      <c r="K23" s="32" t="s">
        <v>32</v>
      </c>
      <c r="L23" s="109">
        <v>271.2</v>
      </c>
      <c r="M23" s="109"/>
      <c r="N23" s="109"/>
      <c r="O23" s="32"/>
      <c r="P23" s="152">
        <f t="shared" si="2"/>
        <v>271.2</v>
      </c>
      <c r="Q23" s="170">
        <f>P23</f>
        <v>271.2</v>
      </c>
      <c r="R23" s="167" t="s">
        <v>0</v>
      </c>
      <c r="S23" s="37" t="s">
        <v>71</v>
      </c>
    </row>
    <row r="24" spans="1:19" ht="59.25" customHeight="1">
      <c r="A24" s="36">
        <v>8</v>
      </c>
      <c r="B24" s="47" t="s">
        <v>159</v>
      </c>
      <c r="C24" s="32" t="s">
        <v>117</v>
      </c>
      <c r="D24" s="108">
        <v>8</v>
      </c>
      <c r="E24" s="1045">
        <v>351.8</v>
      </c>
      <c r="F24" s="133" t="s">
        <v>0</v>
      </c>
      <c r="G24" s="95">
        <v>71</v>
      </c>
      <c r="H24" s="95">
        <v>84</v>
      </c>
      <c r="I24" s="95">
        <v>318.8</v>
      </c>
      <c r="J24" s="134" t="s">
        <v>0</v>
      </c>
      <c r="K24" s="32" t="s">
        <v>32</v>
      </c>
      <c r="L24" s="109">
        <v>46.90000000000002</v>
      </c>
      <c r="M24" s="109"/>
      <c r="N24" s="109">
        <v>0.7</v>
      </c>
      <c r="O24" s="32"/>
      <c r="P24" s="152">
        <f t="shared" si="2"/>
        <v>47.60000000000002</v>
      </c>
      <c r="Q24" s="166">
        <f>P24+P25+P26+P27</f>
        <v>525</v>
      </c>
      <c r="R24" s="167" t="s">
        <v>0</v>
      </c>
      <c r="S24" s="37"/>
    </row>
    <row r="25" spans="1:19" ht="59.25" customHeight="1">
      <c r="A25" s="36">
        <v>8</v>
      </c>
      <c r="B25" s="47" t="s">
        <v>159</v>
      </c>
      <c r="C25" s="32" t="s">
        <v>117</v>
      </c>
      <c r="D25" s="108">
        <v>8</v>
      </c>
      <c r="E25" s="1047"/>
      <c r="F25" s="134" t="s">
        <v>0</v>
      </c>
      <c r="G25" s="106">
        <v>71</v>
      </c>
      <c r="H25" s="106">
        <v>73</v>
      </c>
      <c r="I25" s="107">
        <v>325.9</v>
      </c>
      <c r="J25" s="134" t="s">
        <v>0</v>
      </c>
      <c r="K25" s="32" t="s">
        <v>32</v>
      </c>
      <c r="L25" s="109">
        <v>27.6</v>
      </c>
      <c r="M25" s="109"/>
      <c r="N25" s="109"/>
      <c r="O25" s="32"/>
      <c r="P25" s="152">
        <f t="shared" si="2"/>
        <v>27.6</v>
      </c>
      <c r="Q25" s="168"/>
      <c r="R25" s="167" t="s">
        <v>0</v>
      </c>
      <c r="S25" s="37"/>
    </row>
    <row r="26" spans="1:19" ht="59.25" customHeight="1">
      <c r="A26" s="36">
        <v>8</v>
      </c>
      <c r="B26" s="47" t="s">
        <v>159</v>
      </c>
      <c r="C26" s="32" t="s">
        <v>117</v>
      </c>
      <c r="D26" s="108">
        <v>8</v>
      </c>
      <c r="E26" s="1046"/>
      <c r="F26" s="133" t="s">
        <v>0</v>
      </c>
      <c r="G26" s="106">
        <v>71</v>
      </c>
      <c r="H26" s="106">
        <v>67</v>
      </c>
      <c r="I26" s="107">
        <v>276.6</v>
      </c>
      <c r="J26" s="134" t="s">
        <v>0</v>
      </c>
      <c r="K26" s="32" t="s">
        <v>32</v>
      </c>
      <c r="L26" s="109">
        <v>276.6</v>
      </c>
      <c r="M26" s="109"/>
      <c r="N26" s="109"/>
      <c r="O26" s="32"/>
      <c r="P26" s="152">
        <f t="shared" si="2"/>
        <v>276.6</v>
      </c>
      <c r="Q26" s="168"/>
      <c r="R26" s="167" t="s">
        <v>0</v>
      </c>
      <c r="S26" s="37"/>
    </row>
    <row r="27" spans="1:19" ht="59.25" customHeight="1">
      <c r="A27" s="36">
        <v>8</v>
      </c>
      <c r="B27" s="47" t="s">
        <v>159</v>
      </c>
      <c r="C27" s="32" t="s">
        <v>118</v>
      </c>
      <c r="D27" s="108">
        <v>8</v>
      </c>
      <c r="E27" s="109">
        <v>173.2</v>
      </c>
      <c r="F27" s="134" t="s">
        <v>0</v>
      </c>
      <c r="G27" s="106">
        <v>71</v>
      </c>
      <c r="H27" s="106">
        <v>52</v>
      </c>
      <c r="I27" s="107">
        <v>199</v>
      </c>
      <c r="J27" s="134" t="s">
        <v>0</v>
      </c>
      <c r="K27" s="32" t="s">
        <v>32</v>
      </c>
      <c r="L27" s="109">
        <v>173.2</v>
      </c>
      <c r="M27" s="109"/>
      <c r="N27" s="109"/>
      <c r="O27" s="32"/>
      <c r="P27" s="152">
        <f t="shared" si="2"/>
        <v>173.2</v>
      </c>
      <c r="Q27" s="169"/>
      <c r="R27" s="167" t="s">
        <v>0</v>
      </c>
      <c r="S27" s="37" t="s">
        <v>71</v>
      </c>
    </row>
    <row r="28" spans="1:19" ht="59.25" customHeight="1">
      <c r="A28" s="36">
        <v>9</v>
      </c>
      <c r="B28" s="47" t="s">
        <v>160</v>
      </c>
      <c r="C28" s="105" t="s">
        <v>119</v>
      </c>
      <c r="D28" s="108">
        <v>8</v>
      </c>
      <c r="E28" s="109">
        <v>247.2</v>
      </c>
      <c r="F28" s="133" t="s">
        <v>0</v>
      </c>
      <c r="G28" s="106">
        <v>82</v>
      </c>
      <c r="H28" s="106">
        <v>33</v>
      </c>
      <c r="I28" s="107">
        <v>181.8</v>
      </c>
      <c r="J28" s="134" t="s">
        <v>0</v>
      </c>
      <c r="K28" s="32" t="s">
        <v>32</v>
      </c>
      <c r="L28" s="109">
        <v>181.8</v>
      </c>
      <c r="M28" s="109"/>
      <c r="N28" s="109"/>
      <c r="O28" s="32"/>
      <c r="P28" s="152">
        <f t="shared" si="2"/>
        <v>181.8</v>
      </c>
      <c r="Q28" s="170">
        <f>P28+P29</f>
        <v>197.20000000000002</v>
      </c>
      <c r="R28" s="167" t="s">
        <v>0</v>
      </c>
      <c r="S28" s="37"/>
    </row>
    <row r="29" spans="1:19" ht="59.25" customHeight="1">
      <c r="A29" s="36">
        <v>9</v>
      </c>
      <c r="B29" s="47" t="s">
        <v>160</v>
      </c>
      <c r="C29" s="32"/>
      <c r="D29" s="32"/>
      <c r="E29" s="109"/>
      <c r="F29" s="109"/>
      <c r="G29" s="136">
        <v>71</v>
      </c>
      <c r="H29" s="135">
        <v>125</v>
      </c>
      <c r="I29" s="135">
        <v>58.1</v>
      </c>
      <c r="J29" s="134" t="s">
        <v>101</v>
      </c>
      <c r="K29" s="32" t="s">
        <v>32</v>
      </c>
      <c r="L29" s="109"/>
      <c r="M29" s="109">
        <v>15.4</v>
      </c>
      <c r="N29" s="109"/>
      <c r="O29" s="32"/>
      <c r="P29" s="152">
        <f>L29+M29+N29+O29</f>
        <v>15.4</v>
      </c>
      <c r="Q29" s="166"/>
      <c r="R29" s="167" t="s">
        <v>0</v>
      </c>
      <c r="S29" s="37"/>
    </row>
    <row r="30" spans="1:19" ht="59.25" customHeight="1">
      <c r="A30" s="36">
        <v>10</v>
      </c>
      <c r="B30" s="47" t="s">
        <v>189</v>
      </c>
      <c r="C30" s="32" t="s">
        <v>120</v>
      </c>
      <c r="D30" s="108">
        <v>8</v>
      </c>
      <c r="E30" s="109">
        <v>311.1</v>
      </c>
      <c r="F30" s="134" t="s">
        <v>0</v>
      </c>
      <c r="G30" s="106">
        <v>71</v>
      </c>
      <c r="H30" s="106">
        <v>73</v>
      </c>
      <c r="I30" s="107">
        <v>325.9</v>
      </c>
      <c r="J30" s="134" t="s">
        <v>0</v>
      </c>
      <c r="K30" s="32" t="s">
        <v>32</v>
      </c>
      <c r="L30" s="109">
        <v>289.9</v>
      </c>
      <c r="M30" s="109"/>
      <c r="N30" s="109"/>
      <c r="O30" s="32"/>
      <c r="P30" s="152">
        <f t="shared" si="2"/>
        <v>289.9</v>
      </c>
      <c r="Q30" s="166">
        <f>P30+P31</f>
        <v>449.29999999999995</v>
      </c>
      <c r="R30" s="167" t="s">
        <v>0</v>
      </c>
      <c r="S30" s="37" t="s">
        <v>71</v>
      </c>
    </row>
    <row r="31" spans="1:19" ht="59.25" customHeight="1">
      <c r="A31" s="36">
        <v>10</v>
      </c>
      <c r="B31" s="47" t="s">
        <v>189</v>
      </c>
      <c r="C31" s="108" t="s">
        <v>121</v>
      </c>
      <c r="D31" s="108">
        <v>8</v>
      </c>
      <c r="E31" s="109">
        <v>295.3</v>
      </c>
      <c r="F31" s="133" t="s">
        <v>0</v>
      </c>
      <c r="G31" s="95">
        <v>81</v>
      </c>
      <c r="H31" s="95">
        <v>1</v>
      </c>
      <c r="I31" s="95">
        <v>159.4</v>
      </c>
      <c r="J31" s="134" t="s">
        <v>0</v>
      </c>
      <c r="K31" s="32" t="s">
        <v>32</v>
      </c>
      <c r="L31" s="109">
        <v>159.4</v>
      </c>
      <c r="M31" s="109"/>
      <c r="N31" s="109"/>
      <c r="O31" s="32"/>
      <c r="P31" s="152">
        <f t="shared" si="2"/>
        <v>159.4</v>
      </c>
      <c r="Q31" s="169"/>
      <c r="R31" s="167" t="s">
        <v>0</v>
      </c>
      <c r="S31" s="37"/>
    </row>
    <row r="32" spans="1:19" ht="59.25" customHeight="1">
      <c r="A32" s="36">
        <v>11</v>
      </c>
      <c r="B32" s="102" t="s">
        <v>69</v>
      </c>
      <c r="C32" s="105" t="s">
        <v>122</v>
      </c>
      <c r="D32" s="108">
        <v>8</v>
      </c>
      <c r="E32" s="1045">
        <v>349.9</v>
      </c>
      <c r="F32" s="134" t="s">
        <v>0</v>
      </c>
      <c r="G32" s="106">
        <v>71</v>
      </c>
      <c r="H32" s="106">
        <v>53</v>
      </c>
      <c r="I32" s="107">
        <v>324.5</v>
      </c>
      <c r="J32" s="134" t="s">
        <v>0</v>
      </c>
      <c r="K32" s="32" t="s">
        <v>32</v>
      </c>
      <c r="L32" s="109">
        <v>324.5</v>
      </c>
      <c r="M32" s="109"/>
      <c r="N32" s="109"/>
      <c r="O32" s="32"/>
      <c r="P32" s="152">
        <f t="shared" si="2"/>
        <v>324.5</v>
      </c>
      <c r="Q32" s="166">
        <f>P32+P33</f>
        <v>350</v>
      </c>
      <c r="R32" s="167" t="s">
        <v>0</v>
      </c>
      <c r="S32" s="125" t="s">
        <v>71</v>
      </c>
    </row>
    <row r="33" spans="1:19" ht="59.25" customHeight="1">
      <c r="A33" s="36">
        <v>11</v>
      </c>
      <c r="B33" s="102" t="s">
        <v>69</v>
      </c>
      <c r="C33" s="105" t="s">
        <v>122</v>
      </c>
      <c r="D33" s="108">
        <v>8</v>
      </c>
      <c r="E33" s="1046"/>
      <c r="F33" s="133" t="s">
        <v>0</v>
      </c>
      <c r="G33" s="95">
        <v>71</v>
      </c>
      <c r="H33" s="95">
        <v>36</v>
      </c>
      <c r="I33" s="136">
        <v>364.4</v>
      </c>
      <c r="J33" s="134" t="s">
        <v>0</v>
      </c>
      <c r="K33" s="32" t="s">
        <v>32</v>
      </c>
      <c r="L33" s="109">
        <v>25.399999999999977</v>
      </c>
      <c r="M33" s="32">
        <v>0.1</v>
      </c>
      <c r="N33" s="109"/>
      <c r="O33" s="32"/>
      <c r="P33" s="152">
        <f t="shared" si="2"/>
        <v>25.49999999999998</v>
      </c>
      <c r="Q33" s="169"/>
      <c r="R33" s="167" t="s">
        <v>0</v>
      </c>
      <c r="S33" s="125"/>
    </row>
    <row r="34" spans="1:19" ht="59.25" customHeight="1">
      <c r="A34" s="45">
        <v>12</v>
      </c>
      <c r="B34" s="102" t="s">
        <v>162</v>
      </c>
      <c r="C34" s="32" t="s">
        <v>124</v>
      </c>
      <c r="D34" s="108">
        <v>8</v>
      </c>
      <c r="E34" s="1045">
        <v>242.4</v>
      </c>
      <c r="F34" s="134" t="s">
        <v>0</v>
      </c>
      <c r="G34" s="112">
        <v>71</v>
      </c>
      <c r="H34" s="112">
        <v>66</v>
      </c>
      <c r="I34" s="113">
        <v>219.7</v>
      </c>
      <c r="J34" s="134" t="s">
        <v>0</v>
      </c>
      <c r="K34" s="32" t="s">
        <v>32</v>
      </c>
      <c r="L34" s="109">
        <v>219.7</v>
      </c>
      <c r="M34" s="109"/>
      <c r="N34" s="109"/>
      <c r="O34" s="32"/>
      <c r="P34" s="152">
        <f t="shared" si="2"/>
        <v>219.7</v>
      </c>
      <c r="Q34" s="166">
        <f>P34+P35</f>
        <v>242.39999999999998</v>
      </c>
      <c r="R34" s="167" t="s">
        <v>0</v>
      </c>
      <c r="S34" s="125" t="s">
        <v>71</v>
      </c>
    </row>
    <row r="35" spans="1:19" ht="59.25" customHeight="1">
      <c r="A35" s="45">
        <v>12</v>
      </c>
      <c r="B35" s="102" t="s">
        <v>162</v>
      </c>
      <c r="C35" s="32" t="s">
        <v>124</v>
      </c>
      <c r="D35" s="108">
        <v>8</v>
      </c>
      <c r="E35" s="1046"/>
      <c r="F35" s="133" t="s">
        <v>0</v>
      </c>
      <c r="G35" s="136">
        <v>71</v>
      </c>
      <c r="H35" s="135">
        <v>65</v>
      </c>
      <c r="I35" s="135">
        <v>278.6</v>
      </c>
      <c r="J35" s="134" t="s">
        <v>0</v>
      </c>
      <c r="K35" s="32" t="s">
        <v>32</v>
      </c>
      <c r="L35" s="109">
        <v>22.7</v>
      </c>
      <c r="M35" s="92"/>
      <c r="N35" s="92"/>
      <c r="O35" s="32"/>
      <c r="P35" s="152">
        <f t="shared" si="2"/>
        <v>22.7</v>
      </c>
      <c r="Q35" s="169"/>
      <c r="R35" s="167" t="s">
        <v>0</v>
      </c>
      <c r="S35" s="125" t="s">
        <v>71</v>
      </c>
    </row>
    <row r="36" spans="1:19" ht="59.25" customHeight="1">
      <c r="A36" s="45">
        <v>13</v>
      </c>
      <c r="B36" s="102" t="s">
        <v>82</v>
      </c>
      <c r="C36" s="32" t="s">
        <v>123</v>
      </c>
      <c r="D36" s="114">
        <v>8</v>
      </c>
      <c r="E36" s="1045">
        <v>396.2</v>
      </c>
      <c r="F36" s="134" t="s">
        <v>0</v>
      </c>
      <c r="G36" s="106">
        <v>71</v>
      </c>
      <c r="H36" s="106">
        <v>74</v>
      </c>
      <c r="I36" s="107">
        <v>301.3</v>
      </c>
      <c r="J36" s="134" t="s">
        <v>0</v>
      </c>
      <c r="K36" s="32" t="s">
        <v>32</v>
      </c>
      <c r="L36" s="109">
        <v>301.2</v>
      </c>
      <c r="M36" s="322"/>
      <c r="N36" s="322">
        <v>0.1</v>
      </c>
      <c r="O36" s="92"/>
      <c r="P36" s="152">
        <f t="shared" si="2"/>
        <v>301.3</v>
      </c>
      <c r="Q36" s="166">
        <f>P36+P37</f>
        <v>362</v>
      </c>
      <c r="R36" s="167" t="s">
        <v>0</v>
      </c>
      <c r="S36" s="125"/>
    </row>
    <row r="37" spans="1:19" ht="59.25" customHeight="1">
      <c r="A37" s="37">
        <v>13</v>
      </c>
      <c r="B37" s="47" t="s">
        <v>82</v>
      </c>
      <c r="C37" s="32" t="s">
        <v>123</v>
      </c>
      <c r="D37" s="108">
        <v>8</v>
      </c>
      <c r="E37" s="1046"/>
      <c r="F37" s="133" t="s">
        <v>0</v>
      </c>
      <c r="G37" s="136">
        <v>71</v>
      </c>
      <c r="H37" s="135">
        <v>57</v>
      </c>
      <c r="I37" s="135">
        <v>313.9</v>
      </c>
      <c r="J37" s="134" t="s">
        <v>0</v>
      </c>
      <c r="K37" s="32" t="s">
        <v>32</v>
      </c>
      <c r="L37" s="109">
        <v>60.7</v>
      </c>
      <c r="M37" s="109"/>
      <c r="N37" s="109"/>
      <c r="O37" s="32"/>
      <c r="P37" s="152">
        <f t="shared" si="2"/>
        <v>60.7</v>
      </c>
      <c r="Q37" s="169"/>
      <c r="R37" s="167" t="s">
        <v>0</v>
      </c>
      <c r="S37" s="125" t="s">
        <v>71</v>
      </c>
    </row>
    <row r="38" spans="1:19" ht="59.25" customHeight="1">
      <c r="A38" s="879" t="s">
        <v>184</v>
      </c>
      <c r="B38" s="881"/>
      <c r="C38" s="171"/>
      <c r="D38" s="171"/>
      <c r="E38" s="171"/>
      <c r="F38" s="171"/>
      <c r="G38" s="172"/>
      <c r="H38" s="173"/>
      <c r="I38" s="173"/>
      <c r="J38" s="173"/>
      <c r="K38" s="173"/>
      <c r="L38" s="138">
        <f aca="true" t="shared" si="3" ref="L38:Q38">SUM(L39:L84)</f>
        <v>4453.5</v>
      </c>
      <c r="M38" s="138">
        <f t="shared" si="3"/>
        <v>2961.3</v>
      </c>
      <c r="N38" s="138">
        <f t="shared" si="3"/>
        <v>15.7</v>
      </c>
      <c r="O38" s="138">
        <f t="shared" si="3"/>
        <v>135.1</v>
      </c>
      <c r="P38" s="138">
        <f t="shared" si="3"/>
        <v>7565.600000000001</v>
      </c>
      <c r="Q38" s="138">
        <f t="shared" si="3"/>
        <v>7565.6</v>
      </c>
      <c r="R38" s="167" t="s">
        <v>0</v>
      </c>
      <c r="S38" s="140"/>
    </row>
    <row r="39" spans="1:19" ht="59.25" customHeight="1">
      <c r="A39" s="30">
        <v>1</v>
      </c>
      <c r="B39" s="71" t="s">
        <v>163</v>
      </c>
      <c r="C39" s="32"/>
      <c r="D39" s="32"/>
      <c r="E39" s="109"/>
      <c r="F39" s="109"/>
      <c r="G39" s="130">
        <v>81</v>
      </c>
      <c r="H39" s="130">
        <v>63</v>
      </c>
      <c r="I39" s="44">
        <v>83.9</v>
      </c>
      <c r="J39" s="37" t="s">
        <v>0</v>
      </c>
      <c r="K39" s="32" t="s">
        <v>37</v>
      </c>
      <c r="L39" s="109"/>
      <c r="M39" s="32">
        <v>83.9</v>
      </c>
      <c r="N39" s="88"/>
      <c r="O39" s="32"/>
      <c r="P39" s="151">
        <f>L39+M39+N39+O39</f>
        <v>83.9</v>
      </c>
      <c r="Q39" s="132">
        <f>P39+P40</f>
        <v>226.1</v>
      </c>
      <c r="R39" s="167" t="s">
        <v>0</v>
      </c>
      <c r="S39" s="131"/>
    </row>
    <row r="40" spans="1:19" ht="59.25" customHeight="1">
      <c r="A40" s="30">
        <v>1</v>
      </c>
      <c r="B40" s="71" t="s">
        <v>163</v>
      </c>
      <c r="C40" s="32"/>
      <c r="D40" s="32"/>
      <c r="E40" s="109"/>
      <c r="F40" s="109"/>
      <c r="G40" s="130">
        <v>82</v>
      </c>
      <c r="H40" s="130">
        <v>27</v>
      </c>
      <c r="I40" s="44">
        <v>142.2</v>
      </c>
      <c r="J40" s="37" t="s">
        <v>0</v>
      </c>
      <c r="K40" s="32" t="s">
        <v>37</v>
      </c>
      <c r="L40" s="109"/>
      <c r="M40" s="32">
        <v>142.2</v>
      </c>
      <c r="N40" s="88"/>
      <c r="O40" s="32"/>
      <c r="P40" s="151">
        <f aca="true" t="shared" si="4" ref="P40:P84">L40+M40+N40+O40</f>
        <v>142.2</v>
      </c>
      <c r="Q40" s="132"/>
      <c r="R40" s="167" t="s">
        <v>0</v>
      </c>
      <c r="S40" s="131"/>
    </row>
    <row r="41" spans="1:19" ht="59.25" customHeight="1">
      <c r="A41" s="30">
        <v>2</v>
      </c>
      <c r="B41" s="75" t="s">
        <v>164</v>
      </c>
      <c r="C41" s="108">
        <v>160</v>
      </c>
      <c r="D41" s="108">
        <v>4</v>
      </c>
      <c r="E41" s="109">
        <v>216</v>
      </c>
      <c r="F41" s="130" t="s">
        <v>0</v>
      </c>
      <c r="G41" s="130">
        <v>82</v>
      </c>
      <c r="H41" s="130">
        <v>120</v>
      </c>
      <c r="I41" s="44">
        <v>192.5</v>
      </c>
      <c r="J41" s="37" t="s">
        <v>0</v>
      </c>
      <c r="K41" s="32" t="s">
        <v>68</v>
      </c>
      <c r="L41" s="109">
        <v>192.5</v>
      </c>
      <c r="M41" s="109"/>
      <c r="N41" s="109"/>
      <c r="O41" s="32"/>
      <c r="P41" s="151">
        <f t="shared" si="4"/>
        <v>192.5</v>
      </c>
      <c r="Q41" s="132">
        <f>P41+P42</f>
        <v>459.2</v>
      </c>
      <c r="R41" s="167" t="s">
        <v>0</v>
      </c>
      <c r="S41" s="131"/>
    </row>
    <row r="42" spans="1:19" ht="59.25" customHeight="1">
      <c r="A42" s="30">
        <v>2</v>
      </c>
      <c r="B42" s="75" t="s">
        <v>164</v>
      </c>
      <c r="C42" s="108">
        <v>178</v>
      </c>
      <c r="D42" s="108">
        <v>4</v>
      </c>
      <c r="E42" s="109">
        <v>288</v>
      </c>
      <c r="F42" s="130" t="s">
        <v>0</v>
      </c>
      <c r="G42" s="130">
        <v>72</v>
      </c>
      <c r="H42" s="130">
        <v>176</v>
      </c>
      <c r="I42" s="44">
        <v>266.7</v>
      </c>
      <c r="J42" s="37" t="s">
        <v>45</v>
      </c>
      <c r="K42" s="32" t="s">
        <v>76</v>
      </c>
      <c r="L42" s="109">
        <v>266.7</v>
      </c>
      <c r="M42" s="109"/>
      <c r="N42" s="109"/>
      <c r="O42" s="32"/>
      <c r="P42" s="151">
        <f t="shared" si="4"/>
        <v>266.7</v>
      </c>
      <c r="Q42" s="132"/>
      <c r="R42" s="167" t="s">
        <v>0</v>
      </c>
      <c r="S42" s="131"/>
    </row>
    <row r="43" spans="1:19" ht="59.25" customHeight="1">
      <c r="A43" s="37">
        <v>3</v>
      </c>
      <c r="B43" s="75" t="s">
        <v>165</v>
      </c>
      <c r="C43" s="117">
        <v>31</v>
      </c>
      <c r="D43" s="117">
        <v>4</v>
      </c>
      <c r="E43" s="109">
        <v>360</v>
      </c>
      <c r="F43" s="130" t="s">
        <v>0</v>
      </c>
      <c r="G43" s="130">
        <v>72</v>
      </c>
      <c r="H43" s="130">
        <v>50</v>
      </c>
      <c r="I43" s="44">
        <v>311</v>
      </c>
      <c r="J43" s="44" t="s">
        <v>0</v>
      </c>
      <c r="K43" s="76" t="s">
        <v>43</v>
      </c>
      <c r="L43" s="109">
        <v>311</v>
      </c>
      <c r="M43" s="286"/>
      <c r="N43" s="286"/>
      <c r="O43" s="76"/>
      <c r="P43" s="151">
        <f t="shared" si="4"/>
        <v>311</v>
      </c>
      <c r="Q43" s="141">
        <f>SUM(P43:P52)</f>
        <v>1576.8999999999999</v>
      </c>
      <c r="R43" s="167" t="s">
        <v>0</v>
      </c>
      <c r="S43" s="131"/>
    </row>
    <row r="44" spans="1:19" ht="59.25" customHeight="1">
      <c r="A44" s="37">
        <v>3</v>
      </c>
      <c r="B44" s="75" t="s">
        <v>165</v>
      </c>
      <c r="C44" s="32"/>
      <c r="D44" s="32"/>
      <c r="E44" s="109"/>
      <c r="F44" s="109"/>
      <c r="G44" s="130">
        <v>72</v>
      </c>
      <c r="H44" s="130">
        <v>168</v>
      </c>
      <c r="I44" s="44">
        <v>146.9</v>
      </c>
      <c r="J44" s="37" t="s">
        <v>45</v>
      </c>
      <c r="K44" s="32" t="s">
        <v>44</v>
      </c>
      <c r="L44" s="109"/>
      <c r="M44" s="32">
        <v>146.9</v>
      </c>
      <c r="N44" s="32"/>
      <c r="O44" s="76"/>
      <c r="P44" s="151">
        <f t="shared" si="4"/>
        <v>146.9</v>
      </c>
      <c r="Q44" s="142"/>
      <c r="R44" s="167" t="s">
        <v>0</v>
      </c>
      <c r="S44" s="131"/>
    </row>
    <row r="45" spans="1:19" ht="59.25" customHeight="1">
      <c r="A45" s="37">
        <v>3</v>
      </c>
      <c r="B45" s="75" t="s">
        <v>165</v>
      </c>
      <c r="C45" s="76"/>
      <c r="D45" s="76"/>
      <c r="E45" s="109"/>
      <c r="F45" s="109"/>
      <c r="G45" s="130">
        <v>72</v>
      </c>
      <c r="H45" s="130">
        <v>174</v>
      </c>
      <c r="I45" s="44">
        <v>139</v>
      </c>
      <c r="J45" s="44" t="s">
        <v>45</v>
      </c>
      <c r="K45" s="76" t="s">
        <v>44</v>
      </c>
      <c r="L45" s="109"/>
      <c r="M45" s="32">
        <v>139</v>
      </c>
      <c r="N45" s="32"/>
      <c r="O45" s="76"/>
      <c r="P45" s="151">
        <f t="shared" si="4"/>
        <v>139</v>
      </c>
      <c r="Q45" s="142"/>
      <c r="R45" s="167" t="s">
        <v>0</v>
      </c>
      <c r="S45" s="131"/>
    </row>
    <row r="46" spans="1:19" ht="59.25" customHeight="1">
      <c r="A46" s="37">
        <v>3</v>
      </c>
      <c r="B46" s="75" t="s">
        <v>165</v>
      </c>
      <c r="C46" s="32"/>
      <c r="D46" s="32"/>
      <c r="E46" s="109"/>
      <c r="F46" s="109"/>
      <c r="G46" s="130">
        <v>72</v>
      </c>
      <c r="H46" s="130">
        <v>210</v>
      </c>
      <c r="I46" s="44">
        <v>53.2</v>
      </c>
      <c r="J46" s="37" t="s">
        <v>45</v>
      </c>
      <c r="K46" s="32" t="s">
        <v>44</v>
      </c>
      <c r="L46" s="109"/>
      <c r="M46" s="32">
        <v>53.2</v>
      </c>
      <c r="N46" s="32"/>
      <c r="O46" s="32"/>
      <c r="P46" s="151">
        <f t="shared" si="4"/>
        <v>53.2</v>
      </c>
      <c r="Q46" s="142"/>
      <c r="R46" s="167" t="s">
        <v>0</v>
      </c>
      <c r="S46" s="131"/>
    </row>
    <row r="47" spans="1:19" ht="59.25" customHeight="1">
      <c r="A47" s="37">
        <v>3</v>
      </c>
      <c r="B47" s="75" t="s">
        <v>165</v>
      </c>
      <c r="C47" s="76"/>
      <c r="D47" s="76"/>
      <c r="E47" s="109"/>
      <c r="F47" s="109"/>
      <c r="G47" s="130">
        <v>72</v>
      </c>
      <c r="H47" s="130">
        <v>220</v>
      </c>
      <c r="I47" s="44">
        <v>193.7</v>
      </c>
      <c r="J47" s="37" t="s">
        <v>45</v>
      </c>
      <c r="K47" s="76" t="s">
        <v>44</v>
      </c>
      <c r="L47" s="109"/>
      <c r="M47" s="32">
        <v>193.7</v>
      </c>
      <c r="N47" s="32"/>
      <c r="O47" s="32"/>
      <c r="P47" s="151">
        <f t="shared" si="4"/>
        <v>193.7</v>
      </c>
      <c r="Q47" s="142"/>
      <c r="R47" s="167" t="s">
        <v>0</v>
      </c>
      <c r="S47" s="131"/>
    </row>
    <row r="48" spans="1:19" ht="59.25" customHeight="1">
      <c r="A48" s="37">
        <v>3</v>
      </c>
      <c r="B48" s="75" t="s">
        <v>165</v>
      </c>
      <c r="C48" s="108">
        <v>172</v>
      </c>
      <c r="D48" s="108">
        <v>4</v>
      </c>
      <c r="E48" s="109">
        <v>408</v>
      </c>
      <c r="F48" s="130" t="s">
        <v>0</v>
      </c>
      <c r="G48" s="130">
        <v>82</v>
      </c>
      <c r="H48" s="130">
        <v>309</v>
      </c>
      <c r="I48" s="44">
        <v>406.5</v>
      </c>
      <c r="J48" s="37" t="s">
        <v>0</v>
      </c>
      <c r="K48" s="32" t="s">
        <v>32</v>
      </c>
      <c r="L48" s="109">
        <v>406.5</v>
      </c>
      <c r="M48" s="109"/>
      <c r="N48" s="109"/>
      <c r="O48" s="32"/>
      <c r="P48" s="151">
        <f t="shared" si="4"/>
        <v>406.5</v>
      </c>
      <c r="Q48" s="142"/>
      <c r="R48" s="167" t="s">
        <v>0</v>
      </c>
      <c r="S48" s="131"/>
    </row>
    <row r="49" spans="1:19" ht="59.25" customHeight="1">
      <c r="A49" s="37">
        <v>3</v>
      </c>
      <c r="B49" s="75" t="s">
        <v>165</v>
      </c>
      <c r="C49" s="32"/>
      <c r="D49" s="32"/>
      <c r="E49" s="109"/>
      <c r="F49" s="109"/>
      <c r="G49" s="130">
        <v>82</v>
      </c>
      <c r="H49" s="130">
        <v>308</v>
      </c>
      <c r="I49" s="44">
        <v>608.1</v>
      </c>
      <c r="J49" s="37" t="s">
        <v>0</v>
      </c>
      <c r="K49" s="32" t="s">
        <v>32</v>
      </c>
      <c r="L49" s="109"/>
      <c r="M49" s="32">
        <v>25.5</v>
      </c>
      <c r="N49" s="32"/>
      <c r="O49" s="32"/>
      <c r="P49" s="151">
        <f t="shared" si="4"/>
        <v>25.5</v>
      </c>
      <c r="Q49" s="142"/>
      <c r="R49" s="167" t="s">
        <v>0</v>
      </c>
      <c r="S49" s="131"/>
    </row>
    <row r="50" spans="1:19" ht="59.25" customHeight="1">
      <c r="A50" s="37">
        <v>3</v>
      </c>
      <c r="B50" s="75" t="s">
        <v>165</v>
      </c>
      <c r="C50" s="117">
        <v>161</v>
      </c>
      <c r="D50" s="117">
        <v>4</v>
      </c>
      <c r="E50" s="109">
        <v>144</v>
      </c>
      <c r="F50" s="130" t="s">
        <v>0</v>
      </c>
      <c r="G50" s="130">
        <v>82</v>
      </c>
      <c r="H50" s="130">
        <v>85</v>
      </c>
      <c r="I50" s="44">
        <v>153.5</v>
      </c>
      <c r="J50" s="37" t="s">
        <v>0</v>
      </c>
      <c r="K50" s="76" t="s">
        <v>32</v>
      </c>
      <c r="L50" s="109">
        <v>144</v>
      </c>
      <c r="M50" s="109">
        <v>9.5</v>
      </c>
      <c r="N50" s="109"/>
      <c r="O50" s="109"/>
      <c r="P50" s="151">
        <f t="shared" si="4"/>
        <v>153.5</v>
      </c>
      <c r="Q50" s="142"/>
      <c r="R50" s="167" t="s">
        <v>0</v>
      </c>
      <c r="S50" s="131"/>
    </row>
    <row r="51" spans="1:19" ht="59.25" customHeight="1">
      <c r="A51" s="37">
        <v>3</v>
      </c>
      <c r="B51" s="75" t="s">
        <v>165</v>
      </c>
      <c r="C51" s="117">
        <v>171</v>
      </c>
      <c r="D51" s="117">
        <v>4</v>
      </c>
      <c r="E51" s="109">
        <v>216</v>
      </c>
      <c r="F51" s="130" t="s">
        <v>0</v>
      </c>
      <c r="G51" s="130">
        <v>72</v>
      </c>
      <c r="H51" s="130">
        <v>87</v>
      </c>
      <c r="I51" s="44">
        <v>68.1</v>
      </c>
      <c r="J51" s="37" t="s">
        <v>45</v>
      </c>
      <c r="K51" s="76" t="s">
        <v>44</v>
      </c>
      <c r="L51" s="109">
        <v>64.8</v>
      </c>
      <c r="M51" s="109">
        <v>3.299999999999997</v>
      </c>
      <c r="N51" s="109"/>
      <c r="O51" s="109"/>
      <c r="P51" s="151">
        <f t="shared" si="4"/>
        <v>68.1</v>
      </c>
      <c r="Q51" s="142"/>
      <c r="R51" s="167" t="s">
        <v>0</v>
      </c>
      <c r="S51" s="131"/>
    </row>
    <row r="52" spans="1:19" ht="59.25" customHeight="1">
      <c r="A52" s="37">
        <v>3</v>
      </c>
      <c r="B52" s="75" t="s">
        <v>165</v>
      </c>
      <c r="C52" s="117">
        <v>82</v>
      </c>
      <c r="D52" s="117">
        <v>4</v>
      </c>
      <c r="E52" s="109">
        <v>336</v>
      </c>
      <c r="F52" s="130" t="s">
        <v>0</v>
      </c>
      <c r="G52" s="130">
        <v>81</v>
      </c>
      <c r="H52" s="130">
        <v>69</v>
      </c>
      <c r="I52" s="44">
        <v>79.5</v>
      </c>
      <c r="J52" s="37" t="s">
        <v>0</v>
      </c>
      <c r="K52" s="76" t="s">
        <v>37</v>
      </c>
      <c r="L52" s="109">
        <v>79.5</v>
      </c>
      <c r="M52" s="109"/>
      <c r="N52" s="109"/>
      <c r="O52" s="32"/>
      <c r="P52" s="151">
        <f t="shared" si="4"/>
        <v>79.5</v>
      </c>
      <c r="Q52" s="143"/>
      <c r="R52" s="167" t="s">
        <v>0</v>
      </c>
      <c r="S52" s="131"/>
    </row>
    <row r="53" spans="1:19" ht="59.25" customHeight="1">
      <c r="A53" s="37">
        <v>4</v>
      </c>
      <c r="B53" s="75" t="s">
        <v>166</v>
      </c>
      <c r="C53" s="76"/>
      <c r="D53" s="76"/>
      <c r="E53" s="76"/>
      <c r="F53" s="76"/>
      <c r="G53" s="130">
        <v>82</v>
      </c>
      <c r="H53" s="130">
        <v>329</v>
      </c>
      <c r="I53" s="44">
        <v>443.9</v>
      </c>
      <c r="J53" s="37" t="s">
        <v>0</v>
      </c>
      <c r="K53" s="76" t="s">
        <v>44</v>
      </c>
      <c r="L53" s="76"/>
      <c r="M53" s="32">
        <v>432</v>
      </c>
      <c r="N53" s="32"/>
      <c r="O53" s="32"/>
      <c r="P53" s="151">
        <f t="shared" si="4"/>
        <v>432</v>
      </c>
      <c r="Q53" s="144">
        <f>SUM(P53:P59)</f>
        <v>1278.3</v>
      </c>
      <c r="R53" s="167" t="s">
        <v>0</v>
      </c>
      <c r="S53" s="125" t="s">
        <v>71</v>
      </c>
    </row>
    <row r="54" spans="1:19" ht="59.25" customHeight="1">
      <c r="A54" s="37">
        <v>5</v>
      </c>
      <c r="B54" s="80" t="s">
        <v>167</v>
      </c>
      <c r="C54" s="32"/>
      <c r="D54" s="32"/>
      <c r="E54" s="32"/>
      <c r="F54" s="32"/>
      <c r="G54" s="130">
        <v>72</v>
      </c>
      <c r="H54" s="130">
        <v>96</v>
      </c>
      <c r="I54" s="44">
        <v>65.3</v>
      </c>
      <c r="J54" s="44" t="s">
        <v>45</v>
      </c>
      <c r="K54" s="32" t="s">
        <v>44</v>
      </c>
      <c r="L54" s="32"/>
      <c r="M54" s="32">
        <v>65.3</v>
      </c>
      <c r="N54" s="32"/>
      <c r="O54" s="32"/>
      <c r="P54" s="151">
        <f t="shared" si="4"/>
        <v>65.3</v>
      </c>
      <c r="Q54" s="145"/>
      <c r="R54" s="167" t="s">
        <v>0</v>
      </c>
      <c r="S54" s="131"/>
    </row>
    <row r="55" spans="1:19" ht="59.25" customHeight="1">
      <c r="A55" s="37">
        <v>5</v>
      </c>
      <c r="B55" s="80" t="s">
        <v>167</v>
      </c>
      <c r="C55" s="76"/>
      <c r="D55" s="76"/>
      <c r="E55" s="32"/>
      <c r="F55" s="32"/>
      <c r="G55" s="130">
        <v>72</v>
      </c>
      <c r="H55" s="130">
        <v>94</v>
      </c>
      <c r="I55" s="44">
        <v>142.2</v>
      </c>
      <c r="J55" s="44" t="s">
        <v>45</v>
      </c>
      <c r="K55" s="76" t="s">
        <v>44</v>
      </c>
      <c r="L55" s="32"/>
      <c r="M55" s="32">
        <v>142.2</v>
      </c>
      <c r="N55" s="32"/>
      <c r="O55" s="32"/>
      <c r="P55" s="151">
        <f t="shared" si="4"/>
        <v>142.2</v>
      </c>
      <c r="Q55" s="145"/>
      <c r="R55" s="167" t="s">
        <v>0</v>
      </c>
      <c r="S55" s="131"/>
    </row>
    <row r="56" spans="1:19" ht="59.25" customHeight="1">
      <c r="A56" s="37">
        <v>5</v>
      </c>
      <c r="B56" s="80" t="s">
        <v>167</v>
      </c>
      <c r="C56" s="32"/>
      <c r="D56" s="32"/>
      <c r="E56" s="32"/>
      <c r="F56" s="32"/>
      <c r="G56" s="130">
        <v>71</v>
      </c>
      <c r="H56" s="130">
        <v>115</v>
      </c>
      <c r="I56" s="44">
        <v>198.6</v>
      </c>
      <c r="J56" s="44" t="s">
        <v>45</v>
      </c>
      <c r="K56" s="32" t="s">
        <v>32</v>
      </c>
      <c r="L56" s="32"/>
      <c r="M56" s="32">
        <v>198.6</v>
      </c>
      <c r="N56" s="32"/>
      <c r="O56" s="32"/>
      <c r="P56" s="151">
        <f t="shared" si="4"/>
        <v>198.6</v>
      </c>
      <c r="Q56" s="145"/>
      <c r="R56" s="167" t="s">
        <v>0</v>
      </c>
      <c r="S56" s="131"/>
    </row>
    <row r="57" spans="1:19" ht="59.25" customHeight="1">
      <c r="A57" s="37">
        <v>5</v>
      </c>
      <c r="B57" s="80" t="s">
        <v>167</v>
      </c>
      <c r="C57" s="76"/>
      <c r="D57" s="76"/>
      <c r="E57" s="32"/>
      <c r="F57" s="32"/>
      <c r="G57" s="130">
        <v>71</v>
      </c>
      <c r="H57" s="130">
        <v>50</v>
      </c>
      <c r="I57" s="44">
        <v>339.5</v>
      </c>
      <c r="J57" s="44" t="s">
        <v>0</v>
      </c>
      <c r="K57" s="76" t="s">
        <v>32</v>
      </c>
      <c r="L57" s="32"/>
      <c r="M57" s="32">
        <v>339.5</v>
      </c>
      <c r="N57" s="32"/>
      <c r="O57" s="32"/>
      <c r="P57" s="151">
        <f t="shared" si="4"/>
        <v>339.5</v>
      </c>
      <c r="Q57" s="145"/>
      <c r="R57" s="167" t="s">
        <v>0</v>
      </c>
      <c r="S57" s="131"/>
    </row>
    <row r="58" spans="1:19" ht="59.25" customHeight="1">
      <c r="A58" s="37">
        <v>5</v>
      </c>
      <c r="B58" s="80" t="s">
        <v>167</v>
      </c>
      <c r="C58" s="32"/>
      <c r="D58" s="32"/>
      <c r="E58" s="32"/>
      <c r="F58" s="32"/>
      <c r="G58" s="130">
        <v>71</v>
      </c>
      <c r="H58" s="130">
        <v>37</v>
      </c>
      <c r="I58" s="44">
        <v>58.3</v>
      </c>
      <c r="J58" s="44" t="s">
        <v>0</v>
      </c>
      <c r="K58" s="32" t="s">
        <v>32</v>
      </c>
      <c r="L58" s="32"/>
      <c r="M58" s="32">
        <v>58.3</v>
      </c>
      <c r="N58" s="32"/>
      <c r="O58" s="32"/>
      <c r="P58" s="151">
        <f t="shared" si="4"/>
        <v>58.3</v>
      </c>
      <c r="Q58" s="145"/>
      <c r="R58" s="167" t="s">
        <v>0</v>
      </c>
      <c r="S58" s="131"/>
    </row>
    <row r="59" spans="1:19" ht="59.25" customHeight="1">
      <c r="A59" s="37">
        <v>5</v>
      </c>
      <c r="B59" s="80" t="s">
        <v>167</v>
      </c>
      <c r="C59" s="32"/>
      <c r="D59" s="32"/>
      <c r="E59" s="32"/>
      <c r="F59" s="32"/>
      <c r="G59" s="130">
        <v>72</v>
      </c>
      <c r="H59" s="130">
        <v>57</v>
      </c>
      <c r="I59" s="44">
        <v>42.4</v>
      </c>
      <c r="J59" s="44" t="s">
        <v>45</v>
      </c>
      <c r="K59" s="32" t="s">
        <v>76</v>
      </c>
      <c r="L59" s="32"/>
      <c r="M59" s="32">
        <v>42.4</v>
      </c>
      <c r="N59" s="32"/>
      <c r="O59" s="32"/>
      <c r="P59" s="151">
        <f t="shared" si="4"/>
        <v>42.4</v>
      </c>
      <c r="Q59" s="146"/>
      <c r="R59" s="167" t="s">
        <v>0</v>
      </c>
      <c r="S59" s="131"/>
    </row>
    <row r="60" spans="1:19" ht="59.25" customHeight="1">
      <c r="A60" s="37">
        <v>6</v>
      </c>
      <c r="B60" s="71" t="s">
        <v>168</v>
      </c>
      <c r="C60" s="32" t="s">
        <v>125</v>
      </c>
      <c r="D60" s="108">
        <v>13</v>
      </c>
      <c r="E60" s="109">
        <v>110.30000000000001</v>
      </c>
      <c r="F60" s="130" t="s">
        <v>0</v>
      </c>
      <c r="G60" s="130">
        <v>82</v>
      </c>
      <c r="H60" s="130">
        <v>119</v>
      </c>
      <c r="I60" s="44">
        <v>111.9</v>
      </c>
      <c r="J60" s="44" t="s">
        <v>0</v>
      </c>
      <c r="K60" s="32" t="s">
        <v>54</v>
      </c>
      <c r="L60" s="109">
        <v>110.30000000000001</v>
      </c>
      <c r="M60" s="32">
        <v>1.6</v>
      </c>
      <c r="N60" s="32"/>
      <c r="O60" s="32"/>
      <c r="P60" s="151">
        <f t="shared" si="4"/>
        <v>111.9</v>
      </c>
      <c r="Q60" s="144">
        <f>P60+P61</f>
        <v>234.9</v>
      </c>
      <c r="R60" s="167" t="s">
        <v>0</v>
      </c>
      <c r="S60" s="131"/>
    </row>
    <row r="61" spans="1:19" ht="59.25" customHeight="1">
      <c r="A61" s="37">
        <v>6</v>
      </c>
      <c r="B61" s="71" t="s">
        <v>168</v>
      </c>
      <c r="C61" s="30" t="s">
        <v>126</v>
      </c>
      <c r="D61" s="30">
        <v>8</v>
      </c>
      <c r="E61" s="109">
        <v>137.1</v>
      </c>
      <c r="F61" s="130" t="s">
        <v>0</v>
      </c>
      <c r="G61" s="130">
        <v>82</v>
      </c>
      <c r="H61" s="130">
        <v>5</v>
      </c>
      <c r="I61" s="44">
        <v>123</v>
      </c>
      <c r="J61" s="37" t="s">
        <v>0</v>
      </c>
      <c r="K61" s="30" t="s">
        <v>44</v>
      </c>
      <c r="L61" s="109">
        <v>123</v>
      </c>
      <c r="M61" s="32"/>
      <c r="N61" s="32"/>
      <c r="O61" s="32"/>
      <c r="P61" s="151">
        <f t="shared" si="4"/>
        <v>123</v>
      </c>
      <c r="Q61" s="146"/>
      <c r="R61" s="167" t="s">
        <v>0</v>
      </c>
      <c r="S61" s="131"/>
    </row>
    <row r="62" spans="1:19" ht="59.25" customHeight="1">
      <c r="A62" s="37">
        <v>7</v>
      </c>
      <c r="B62" s="118" t="s">
        <v>169</v>
      </c>
      <c r="C62" s="32"/>
      <c r="D62" s="32"/>
      <c r="E62" s="109"/>
      <c r="F62" s="109"/>
      <c r="G62" s="130">
        <v>72</v>
      </c>
      <c r="H62" s="130">
        <v>102</v>
      </c>
      <c r="I62" s="44">
        <v>135.1</v>
      </c>
      <c r="J62" s="37" t="s">
        <v>45</v>
      </c>
      <c r="K62" s="32" t="s">
        <v>44</v>
      </c>
      <c r="L62" s="109"/>
      <c r="M62" s="32">
        <v>135.1</v>
      </c>
      <c r="N62" s="32"/>
      <c r="O62" s="109">
        <v>135.1</v>
      </c>
      <c r="P62" s="151">
        <f t="shared" si="4"/>
        <v>270.2</v>
      </c>
      <c r="Q62" s="130">
        <f>P62</f>
        <v>270.2</v>
      </c>
      <c r="R62" s="167" t="s">
        <v>0</v>
      </c>
      <c r="S62" s="131"/>
    </row>
    <row r="63" spans="1:19" ht="59.25" customHeight="1">
      <c r="A63" s="37">
        <v>8</v>
      </c>
      <c r="B63" s="75" t="s">
        <v>170</v>
      </c>
      <c r="C63" s="30">
        <v>248</v>
      </c>
      <c r="D63" s="30">
        <v>8</v>
      </c>
      <c r="E63" s="109">
        <v>175</v>
      </c>
      <c r="F63" s="130" t="s">
        <v>0</v>
      </c>
      <c r="G63" s="130">
        <v>72</v>
      </c>
      <c r="H63" s="130">
        <v>161</v>
      </c>
      <c r="I63" s="44">
        <v>140.2</v>
      </c>
      <c r="J63" s="37" t="s">
        <v>45</v>
      </c>
      <c r="K63" s="32" t="s">
        <v>44</v>
      </c>
      <c r="L63" s="109">
        <v>140.2</v>
      </c>
      <c r="M63" s="109"/>
      <c r="N63" s="109"/>
      <c r="O63" s="32"/>
      <c r="P63" s="151">
        <f t="shared" si="4"/>
        <v>140.2</v>
      </c>
      <c r="Q63" s="144">
        <f>P63+P64</f>
        <v>448.4</v>
      </c>
      <c r="R63" s="167" t="s">
        <v>0</v>
      </c>
      <c r="S63" s="131"/>
    </row>
    <row r="64" spans="1:19" ht="59.25" customHeight="1">
      <c r="A64" s="37">
        <v>8</v>
      </c>
      <c r="B64" s="75" t="s">
        <v>170</v>
      </c>
      <c r="C64" s="30">
        <v>26</v>
      </c>
      <c r="D64" s="30">
        <v>13</v>
      </c>
      <c r="E64" s="109">
        <v>318.4</v>
      </c>
      <c r="F64" s="130" t="s">
        <v>0</v>
      </c>
      <c r="G64" s="130">
        <v>82</v>
      </c>
      <c r="H64" s="130">
        <v>88</v>
      </c>
      <c r="I64" s="44">
        <v>308.2</v>
      </c>
      <c r="J64" s="37" t="s">
        <v>0</v>
      </c>
      <c r="K64" s="30" t="s">
        <v>32</v>
      </c>
      <c r="L64" s="109">
        <v>292.5</v>
      </c>
      <c r="M64" s="32"/>
      <c r="N64" s="32">
        <v>15.7</v>
      </c>
      <c r="O64" s="32"/>
      <c r="P64" s="151">
        <f t="shared" si="4"/>
        <v>308.2</v>
      </c>
      <c r="Q64" s="146"/>
      <c r="R64" s="167" t="s">
        <v>0</v>
      </c>
      <c r="S64" s="131"/>
    </row>
    <row r="65" spans="1:19" ht="59.25" customHeight="1">
      <c r="A65" s="37">
        <v>9</v>
      </c>
      <c r="B65" s="71" t="s">
        <v>171</v>
      </c>
      <c r="C65" s="30" t="s">
        <v>129</v>
      </c>
      <c r="D65" s="30">
        <v>8</v>
      </c>
      <c r="E65" s="109">
        <v>262</v>
      </c>
      <c r="F65" s="130" t="s">
        <v>0</v>
      </c>
      <c r="G65" s="130">
        <v>72</v>
      </c>
      <c r="H65" s="130">
        <v>258</v>
      </c>
      <c r="I65" s="44">
        <v>256.2</v>
      </c>
      <c r="J65" s="37" t="s">
        <v>0</v>
      </c>
      <c r="K65" s="30" t="s">
        <v>32</v>
      </c>
      <c r="L65" s="109">
        <v>256.2</v>
      </c>
      <c r="M65" s="109"/>
      <c r="N65" s="109"/>
      <c r="O65" s="32"/>
      <c r="P65" s="151">
        <f t="shared" si="4"/>
        <v>256.2</v>
      </c>
      <c r="Q65" s="144">
        <f>P65+P66+P67</f>
        <v>775.9</v>
      </c>
      <c r="R65" s="167" t="s">
        <v>0</v>
      </c>
      <c r="S65" s="131"/>
    </row>
    <row r="66" spans="1:19" ht="59.25" customHeight="1">
      <c r="A66" s="37">
        <v>9</v>
      </c>
      <c r="B66" s="71" t="s">
        <v>171</v>
      </c>
      <c r="C66" s="30" t="s">
        <v>128</v>
      </c>
      <c r="D66" s="30">
        <v>13</v>
      </c>
      <c r="E66" s="109">
        <v>320.9</v>
      </c>
      <c r="F66" s="130" t="s">
        <v>0</v>
      </c>
      <c r="G66" s="130">
        <v>81</v>
      </c>
      <c r="H66" s="130">
        <v>68</v>
      </c>
      <c r="I66" s="44">
        <v>65.2</v>
      </c>
      <c r="J66" s="37" t="s">
        <v>0</v>
      </c>
      <c r="K66" s="30" t="s">
        <v>37</v>
      </c>
      <c r="L66" s="109">
        <v>65.2</v>
      </c>
      <c r="M66" s="109"/>
      <c r="N66" s="109"/>
      <c r="O66" s="32"/>
      <c r="P66" s="151">
        <f t="shared" si="4"/>
        <v>65.2</v>
      </c>
      <c r="Q66" s="145"/>
      <c r="R66" s="167" t="s">
        <v>0</v>
      </c>
      <c r="S66" s="131"/>
    </row>
    <row r="67" spans="1:19" ht="59.25" customHeight="1">
      <c r="A67" s="37">
        <v>9</v>
      </c>
      <c r="B67" s="71" t="s">
        <v>171</v>
      </c>
      <c r="C67" s="30" t="s">
        <v>127</v>
      </c>
      <c r="D67" s="30">
        <v>13</v>
      </c>
      <c r="E67" s="109">
        <v>504</v>
      </c>
      <c r="F67" s="130" t="s">
        <v>0</v>
      </c>
      <c r="G67" s="130">
        <v>82</v>
      </c>
      <c r="H67" s="130">
        <v>124</v>
      </c>
      <c r="I67" s="44">
        <v>454.5</v>
      </c>
      <c r="J67" s="37" t="s">
        <v>0</v>
      </c>
      <c r="K67" s="30" t="s">
        <v>54</v>
      </c>
      <c r="L67" s="109">
        <v>454.5</v>
      </c>
      <c r="M67" s="109"/>
      <c r="N67" s="109"/>
      <c r="O67" s="32"/>
      <c r="P67" s="151">
        <f t="shared" si="4"/>
        <v>454.5</v>
      </c>
      <c r="Q67" s="146"/>
      <c r="R67" s="167" t="s">
        <v>0</v>
      </c>
      <c r="S67" s="131"/>
    </row>
    <row r="68" spans="1:19" ht="59.25" customHeight="1">
      <c r="A68" s="37">
        <v>10</v>
      </c>
      <c r="B68" s="75" t="s">
        <v>172</v>
      </c>
      <c r="C68" s="32"/>
      <c r="D68" s="32"/>
      <c r="E68" s="109"/>
      <c r="F68" s="109"/>
      <c r="G68" s="130">
        <v>72</v>
      </c>
      <c r="H68" s="130">
        <v>7</v>
      </c>
      <c r="I68" s="44">
        <v>99.8</v>
      </c>
      <c r="J68" s="37" t="s">
        <v>45</v>
      </c>
      <c r="K68" s="32" t="s">
        <v>43</v>
      </c>
      <c r="L68" s="109"/>
      <c r="M68" s="32">
        <v>99.8</v>
      </c>
      <c r="N68" s="32"/>
      <c r="O68" s="32"/>
      <c r="P68" s="151">
        <f t="shared" si="4"/>
        <v>99.8</v>
      </c>
      <c r="Q68" s="144">
        <f>P68+P69</f>
        <v>197.7</v>
      </c>
      <c r="R68" s="167" t="s">
        <v>0</v>
      </c>
      <c r="S68" s="131"/>
    </row>
    <row r="69" spans="1:19" ht="59.25" customHeight="1">
      <c r="A69" s="37">
        <v>10</v>
      </c>
      <c r="B69" s="75" t="s">
        <v>172</v>
      </c>
      <c r="C69" s="76"/>
      <c r="D69" s="76"/>
      <c r="E69" s="109"/>
      <c r="F69" s="109"/>
      <c r="G69" s="130">
        <v>72</v>
      </c>
      <c r="H69" s="130">
        <v>93</v>
      </c>
      <c r="I69" s="44">
        <v>97.9</v>
      </c>
      <c r="J69" s="37" t="s">
        <v>45</v>
      </c>
      <c r="K69" s="76" t="s">
        <v>44</v>
      </c>
      <c r="L69" s="109"/>
      <c r="M69" s="32">
        <v>97.9</v>
      </c>
      <c r="N69" s="32"/>
      <c r="O69" s="32"/>
      <c r="P69" s="151">
        <f t="shared" si="4"/>
        <v>97.9</v>
      </c>
      <c r="Q69" s="146"/>
      <c r="R69" s="167" t="s">
        <v>0</v>
      </c>
      <c r="S69" s="131"/>
    </row>
    <row r="70" spans="1:19" ht="59.25" customHeight="1">
      <c r="A70" s="37">
        <v>11</v>
      </c>
      <c r="B70" s="75" t="s">
        <v>173</v>
      </c>
      <c r="C70" s="32" t="s">
        <v>130</v>
      </c>
      <c r="D70" s="108">
        <v>8</v>
      </c>
      <c r="E70" s="109">
        <v>103.7</v>
      </c>
      <c r="F70" s="130" t="s">
        <v>0</v>
      </c>
      <c r="G70" s="130">
        <v>72</v>
      </c>
      <c r="H70" s="130">
        <v>110</v>
      </c>
      <c r="I70" s="44">
        <v>96</v>
      </c>
      <c r="J70" s="44" t="s">
        <v>45</v>
      </c>
      <c r="K70" s="32" t="s">
        <v>44</v>
      </c>
      <c r="L70" s="109">
        <v>96</v>
      </c>
      <c r="M70" s="109"/>
      <c r="N70" s="109"/>
      <c r="O70" s="32"/>
      <c r="P70" s="151">
        <f t="shared" si="4"/>
        <v>96</v>
      </c>
      <c r="Q70" s="144">
        <f>P70+P71</f>
        <v>309.6</v>
      </c>
      <c r="R70" s="167" t="s">
        <v>0</v>
      </c>
      <c r="S70" s="131"/>
    </row>
    <row r="71" spans="1:19" ht="59.25" customHeight="1">
      <c r="A71" s="37">
        <v>11</v>
      </c>
      <c r="B71" s="75" t="s">
        <v>173</v>
      </c>
      <c r="C71" s="76" t="s">
        <v>131</v>
      </c>
      <c r="D71" s="108">
        <v>8</v>
      </c>
      <c r="E71" s="37">
        <v>171.5</v>
      </c>
      <c r="F71" s="130" t="s">
        <v>0</v>
      </c>
      <c r="G71" s="130">
        <v>72</v>
      </c>
      <c r="H71" s="130">
        <v>227</v>
      </c>
      <c r="I71" s="44">
        <v>213.6</v>
      </c>
      <c r="J71" s="37" t="s">
        <v>45</v>
      </c>
      <c r="K71" s="76" t="s">
        <v>44</v>
      </c>
      <c r="L71" s="37">
        <v>171.5</v>
      </c>
      <c r="M71" s="37">
        <v>42.099999999999994</v>
      </c>
      <c r="N71" s="32"/>
      <c r="O71" s="32"/>
      <c r="P71" s="151">
        <f t="shared" si="4"/>
        <v>213.6</v>
      </c>
      <c r="Q71" s="146"/>
      <c r="R71" s="167" t="s">
        <v>0</v>
      </c>
      <c r="S71" s="131"/>
    </row>
    <row r="72" spans="1:19" ht="59.25" customHeight="1">
      <c r="A72" s="37">
        <v>12</v>
      </c>
      <c r="B72" s="75" t="s">
        <v>174</v>
      </c>
      <c r="C72" s="76" t="s">
        <v>132</v>
      </c>
      <c r="D72" s="117">
        <v>8</v>
      </c>
      <c r="E72" s="109">
        <v>138.7</v>
      </c>
      <c r="F72" s="130" t="s">
        <v>0</v>
      </c>
      <c r="G72" s="130">
        <v>72</v>
      </c>
      <c r="H72" s="130">
        <v>184</v>
      </c>
      <c r="I72" s="44">
        <v>122.8</v>
      </c>
      <c r="J72" s="37" t="s">
        <v>45</v>
      </c>
      <c r="K72" s="76" t="s">
        <v>44</v>
      </c>
      <c r="L72" s="109">
        <v>122.8</v>
      </c>
      <c r="M72" s="32"/>
      <c r="N72" s="32"/>
      <c r="O72" s="32"/>
      <c r="P72" s="151">
        <f t="shared" si="4"/>
        <v>122.8</v>
      </c>
      <c r="Q72" s="130">
        <f>P72</f>
        <v>122.8</v>
      </c>
      <c r="R72" s="167" t="s">
        <v>0</v>
      </c>
      <c r="S72" s="131"/>
    </row>
    <row r="73" spans="1:19" ht="59.25" customHeight="1">
      <c r="A73" s="37">
        <v>13</v>
      </c>
      <c r="B73" s="75" t="s">
        <v>175</v>
      </c>
      <c r="C73" s="76" t="s">
        <v>150</v>
      </c>
      <c r="D73" s="117">
        <v>8</v>
      </c>
      <c r="E73" s="109">
        <v>155.7</v>
      </c>
      <c r="F73" s="130" t="s">
        <v>0</v>
      </c>
      <c r="G73" s="130">
        <v>71</v>
      </c>
      <c r="H73" s="130">
        <v>7</v>
      </c>
      <c r="I73" s="44">
        <v>76.4</v>
      </c>
      <c r="J73" s="37" t="s">
        <v>45</v>
      </c>
      <c r="K73" s="76" t="s">
        <v>43</v>
      </c>
      <c r="L73" s="109">
        <v>76.4</v>
      </c>
      <c r="M73" s="32"/>
      <c r="N73" s="32"/>
      <c r="O73" s="32"/>
      <c r="P73" s="151">
        <f t="shared" si="4"/>
        <v>76.4</v>
      </c>
      <c r="Q73" s="144">
        <f>P73+P74+P76+P75</f>
        <v>555.8</v>
      </c>
      <c r="R73" s="167" t="s">
        <v>0</v>
      </c>
      <c r="S73" s="131"/>
    </row>
    <row r="74" spans="1:19" ht="59.25" customHeight="1">
      <c r="A74" s="37">
        <v>13</v>
      </c>
      <c r="B74" s="75" t="s">
        <v>175</v>
      </c>
      <c r="C74" s="117">
        <v>208</v>
      </c>
      <c r="D74" s="117">
        <v>8</v>
      </c>
      <c r="E74" s="109">
        <v>118.7</v>
      </c>
      <c r="F74" s="130" t="s">
        <v>0</v>
      </c>
      <c r="G74" s="130">
        <v>72</v>
      </c>
      <c r="H74" s="130">
        <v>81</v>
      </c>
      <c r="I74" s="44">
        <v>113.3</v>
      </c>
      <c r="J74" s="37" t="s">
        <v>45</v>
      </c>
      <c r="K74" s="32" t="s">
        <v>44</v>
      </c>
      <c r="L74" s="109">
        <v>113.3</v>
      </c>
      <c r="M74" s="32"/>
      <c r="N74" s="32"/>
      <c r="O74" s="32"/>
      <c r="P74" s="151">
        <f t="shared" si="4"/>
        <v>113.3</v>
      </c>
      <c r="Q74" s="145"/>
      <c r="R74" s="167" t="s">
        <v>0</v>
      </c>
      <c r="S74" s="131"/>
    </row>
    <row r="75" spans="1:19" ht="59.25" customHeight="1">
      <c r="A75" s="37">
        <v>13</v>
      </c>
      <c r="B75" s="75" t="s">
        <v>175</v>
      </c>
      <c r="C75" s="117">
        <v>288</v>
      </c>
      <c r="D75" s="117">
        <v>8</v>
      </c>
      <c r="E75" s="109">
        <v>218.3</v>
      </c>
      <c r="F75" s="130" t="s">
        <v>0</v>
      </c>
      <c r="G75" s="130">
        <v>72</v>
      </c>
      <c r="H75" s="130">
        <v>177</v>
      </c>
      <c r="I75" s="44">
        <v>201.5</v>
      </c>
      <c r="J75" s="37" t="s">
        <v>45</v>
      </c>
      <c r="K75" s="76" t="s">
        <v>44</v>
      </c>
      <c r="L75" s="109">
        <v>201.5</v>
      </c>
      <c r="M75" s="32"/>
      <c r="N75" s="32"/>
      <c r="O75" s="32"/>
      <c r="P75" s="151">
        <f t="shared" si="4"/>
        <v>201.5</v>
      </c>
      <c r="Q75" s="145"/>
      <c r="R75" s="167" t="s">
        <v>0</v>
      </c>
      <c r="S75" s="131"/>
    </row>
    <row r="76" spans="1:19" ht="59.25" customHeight="1">
      <c r="A76" s="37">
        <v>13</v>
      </c>
      <c r="B76" s="75" t="s">
        <v>175</v>
      </c>
      <c r="C76" s="32"/>
      <c r="D76" s="32"/>
      <c r="E76" s="109"/>
      <c r="F76" s="109"/>
      <c r="G76" s="130">
        <v>72</v>
      </c>
      <c r="H76" s="130">
        <v>209</v>
      </c>
      <c r="I76" s="44">
        <v>171.9</v>
      </c>
      <c r="J76" s="37" t="s">
        <v>45</v>
      </c>
      <c r="K76" s="32" t="s">
        <v>44</v>
      </c>
      <c r="L76" s="109"/>
      <c r="M76" s="109">
        <v>164.6</v>
      </c>
      <c r="N76" s="32"/>
      <c r="O76" s="32"/>
      <c r="P76" s="151">
        <f t="shared" si="4"/>
        <v>164.6</v>
      </c>
      <c r="Q76" s="146"/>
      <c r="R76" s="167" t="s">
        <v>0</v>
      </c>
      <c r="S76" s="131"/>
    </row>
    <row r="77" spans="1:19" ht="59.25" customHeight="1">
      <c r="A77" s="37">
        <v>14</v>
      </c>
      <c r="B77" s="75" t="s">
        <v>58</v>
      </c>
      <c r="C77" s="32"/>
      <c r="D77" s="32"/>
      <c r="E77" s="109"/>
      <c r="F77" s="109"/>
      <c r="G77" s="130">
        <v>81</v>
      </c>
      <c r="H77" s="130">
        <v>28</v>
      </c>
      <c r="I77" s="44">
        <v>126.5</v>
      </c>
      <c r="J77" s="44" t="s">
        <v>0</v>
      </c>
      <c r="K77" s="32" t="s">
        <v>37</v>
      </c>
      <c r="L77" s="109"/>
      <c r="M77" s="32">
        <v>126.5</v>
      </c>
      <c r="N77" s="32"/>
      <c r="O77" s="32"/>
      <c r="P77" s="151">
        <f t="shared" si="4"/>
        <v>126.5</v>
      </c>
      <c r="Q77" s="144">
        <f>P77+P78+P79</f>
        <v>265.3</v>
      </c>
      <c r="R77" s="167" t="s">
        <v>0</v>
      </c>
      <c r="S77" s="131"/>
    </row>
    <row r="78" spans="1:19" ht="59.25" customHeight="1">
      <c r="A78" s="37">
        <v>14</v>
      </c>
      <c r="B78" s="75" t="s">
        <v>58</v>
      </c>
      <c r="C78" s="76"/>
      <c r="D78" s="76"/>
      <c r="E78" s="109"/>
      <c r="F78" s="109"/>
      <c r="G78" s="130">
        <v>72</v>
      </c>
      <c r="H78" s="130">
        <v>263</v>
      </c>
      <c r="I78" s="44">
        <v>307</v>
      </c>
      <c r="J78" s="44" t="s">
        <v>0</v>
      </c>
      <c r="K78" s="76" t="s">
        <v>44</v>
      </c>
      <c r="L78" s="109"/>
      <c r="M78" s="44">
        <v>98.5</v>
      </c>
      <c r="N78" s="32"/>
      <c r="O78" s="32"/>
      <c r="P78" s="151">
        <f t="shared" si="4"/>
        <v>98.5</v>
      </c>
      <c r="Q78" s="145"/>
      <c r="R78" s="167" t="s">
        <v>0</v>
      </c>
      <c r="S78" s="131"/>
    </row>
    <row r="79" spans="1:19" ht="59.25" customHeight="1">
      <c r="A79" s="37">
        <v>14</v>
      </c>
      <c r="B79" s="75" t="s">
        <v>58</v>
      </c>
      <c r="C79" s="32"/>
      <c r="D79" s="32"/>
      <c r="E79" s="109"/>
      <c r="F79" s="109"/>
      <c r="G79" s="130">
        <v>72</v>
      </c>
      <c r="H79" s="130">
        <v>106</v>
      </c>
      <c r="I79" s="44">
        <v>40.3</v>
      </c>
      <c r="J79" s="37" t="s">
        <v>45</v>
      </c>
      <c r="K79" s="32" t="s">
        <v>44</v>
      </c>
      <c r="L79" s="109"/>
      <c r="M79" s="32">
        <v>40.3</v>
      </c>
      <c r="N79" s="32"/>
      <c r="O79" s="32"/>
      <c r="P79" s="151">
        <f t="shared" si="4"/>
        <v>40.3</v>
      </c>
      <c r="Q79" s="146"/>
      <c r="R79" s="167" t="s">
        <v>0</v>
      </c>
      <c r="S79" s="131"/>
    </row>
    <row r="80" spans="1:19" ht="59.25" customHeight="1">
      <c r="A80" s="37">
        <v>15</v>
      </c>
      <c r="B80" s="47" t="s">
        <v>60</v>
      </c>
      <c r="C80" s="108">
        <v>287</v>
      </c>
      <c r="D80" s="108">
        <v>8</v>
      </c>
      <c r="E80" s="109">
        <v>232</v>
      </c>
      <c r="F80" s="130" t="s">
        <v>0</v>
      </c>
      <c r="G80" s="130">
        <v>72</v>
      </c>
      <c r="H80" s="130">
        <v>219</v>
      </c>
      <c r="I80" s="107">
        <v>214.5</v>
      </c>
      <c r="J80" s="107" t="s">
        <v>45</v>
      </c>
      <c r="K80" s="32" t="s">
        <v>44</v>
      </c>
      <c r="L80" s="109">
        <v>214.5</v>
      </c>
      <c r="M80" s="32"/>
      <c r="N80" s="32"/>
      <c r="O80" s="32"/>
      <c r="P80" s="151">
        <f t="shared" si="4"/>
        <v>214.5</v>
      </c>
      <c r="Q80" s="130">
        <f>SUM(P80:P84)</f>
        <v>844.5</v>
      </c>
      <c r="R80" s="167" t="s">
        <v>0</v>
      </c>
      <c r="S80" s="131"/>
    </row>
    <row r="81" spans="1:19" ht="59.25" customHeight="1">
      <c r="A81" s="37">
        <v>15</v>
      </c>
      <c r="B81" s="80" t="s">
        <v>60</v>
      </c>
      <c r="C81" s="117">
        <v>269</v>
      </c>
      <c r="D81" s="117">
        <v>8</v>
      </c>
      <c r="E81" s="109">
        <v>204.5</v>
      </c>
      <c r="F81" s="130" t="s">
        <v>0</v>
      </c>
      <c r="G81" s="130">
        <v>72</v>
      </c>
      <c r="H81" s="130">
        <v>178</v>
      </c>
      <c r="I81" s="44">
        <v>193</v>
      </c>
      <c r="J81" s="44" t="s">
        <v>45</v>
      </c>
      <c r="K81" s="76" t="s">
        <v>44</v>
      </c>
      <c r="L81" s="109">
        <v>193</v>
      </c>
      <c r="M81" s="32"/>
      <c r="N81" s="32"/>
      <c r="O81" s="32"/>
      <c r="P81" s="151">
        <f t="shared" si="4"/>
        <v>193</v>
      </c>
      <c r="Q81" s="131"/>
      <c r="R81" s="167" t="s">
        <v>0</v>
      </c>
      <c r="S81" s="131"/>
    </row>
    <row r="82" spans="1:19" ht="59.25" customHeight="1">
      <c r="A82" s="37">
        <v>15</v>
      </c>
      <c r="B82" s="80" t="s">
        <v>60</v>
      </c>
      <c r="C82" s="32" t="s">
        <v>188</v>
      </c>
      <c r="D82" s="108">
        <v>8</v>
      </c>
      <c r="E82" s="109">
        <v>422.7</v>
      </c>
      <c r="F82" s="130" t="s">
        <v>0</v>
      </c>
      <c r="G82" s="130">
        <v>71</v>
      </c>
      <c r="H82" s="130">
        <v>112</v>
      </c>
      <c r="I82" s="44">
        <v>357.6</v>
      </c>
      <c r="J82" s="44" t="s">
        <v>0</v>
      </c>
      <c r="K82" s="32" t="s">
        <v>32</v>
      </c>
      <c r="L82" s="109">
        <v>357.6</v>
      </c>
      <c r="M82" s="32"/>
      <c r="N82" s="32"/>
      <c r="O82" s="32"/>
      <c r="P82" s="151">
        <f t="shared" si="4"/>
        <v>357.6</v>
      </c>
      <c r="Q82" s="137"/>
      <c r="R82" s="167" t="s">
        <v>0</v>
      </c>
      <c r="S82" s="137"/>
    </row>
    <row r="83" spans="1:19" ht="59.25" customHeight="1">
      <c r="A83" s="37">
        <v>15</v>
      </c>
      <c r="B83" s="80" t="s">
        <v>60</v>
      </c>
      <c r="C83" s="76"/>
      <c r="D83" s="76"/>
      <c r="E83" s="109"/>
      <c r="F83" s="109"/>
      <c r="G83" s="130">
        <v>72</v>
      </c>
      <c r="H83" s="130">
        <v>84</v>
      </c>
      <c r="I83" s="44">
        <v>44.1</v>
      </c>
      <c r="J83" s="44" t="s">
        <v>45</v>
      </c>
      <c r="K83" s="76" t="s">
        <v>44</v>
      </c>
      <c r="L83" s="109"/>
      <c r="M83" s="32">
        <v>44.1</v>
      </c>
      <c r="N83" s="32"/>
      <c r="O83" s="32"/>
      <c r="P83" s="151">
        <f t="shared" si="4"/>
        <v>44.1</v>
      </c>
      <c r="Q83" s="137"/>
      <c r="R83" s="167" t="s">
        <v>0</v>
      </c>
      <c r="S83" s="137"/>
    </row>
    <row r="84" spans="1:19" ht="59.25" customHeight="1">
      <c r="A84" s="37">
        <v>15</v>
      </c>
      <c r="B84" s="80" t="s">
        <v>60</v>
      </c>
      <c r="C84" s="32"/>
      <c r="D84" s="32"/>
      <c r="E84" s="109"/>
      <c r="F84" s="109"/>
      <c r="G84" s="130">
        <v>71</v>
      </c>
      <c r="H84" s="130">
        <v>28</v>
      </c>
      <c r="I84" s="44">
        <v>35.3</v>
      </c>
      <c r="J84" s="44" t="s">
        <v>0</v>
      </c>
      <c r="K84" s="32" t="s">
        <v>44</v>
      </c>
      <c r="L84" s="109"/>
      <c r="M84" s="32">
        <v>35.3</v>
      </c>
      <c r="N84" s="32"/>
      <c r="O84" s="32"/>
      <c r="P84" s="151">
        <f t="shared" si="4"/>
        <v>35.3</v>
      </c>
      <c r="Q84" s="131"/>
      <c r="R84" s="167" t="s">
        <v>0</v>
      </c>
      <c r="S84" s="131"/>
    </row>
    <row r="85" spans="1:19" ht="59.25" customHeight="1">
      <c r="A85" s="879" t="s">
        <v>186</v>
      </c>
      <c r="B85" s="881"/>
      <c r="C85" s="129"/>
      <c r="D85" s="129"/>
      <c r="E85" s="129"/>
      <c r="F85" s="129"/>
      <c r="G85" s="163"/>
      <c r="H85" s="320"/>
      <c r="I85" s="320"/>
      <c r="J85" s="320"/>
      <c r="K85" s="320"/>
      <c r="L85" s="287">
        <f aca="true" t="shared" si="5" ref="L85:Q85">SUM(L86:L92)</f>
        <v>0</v>
      </c>
      <c r="M85" s="287">
        <f t="shared" si="5"/>
        <v>1457.1</v>
      </c>
      <c r="N85" s="287">
        <f t="shared" si="5"/>
        <v>0</v>
      </c>
      <c r="O85" s="287">
        <f t="shared" si="5"/>
        <v>1</v>
      </c>
      <c r="P85" s="147">
        <f t="shared" si="5"/>
        <v>1458.1</v>
      </c>
      <c r="Q85" s="147">
        <f t="shared" si="5"/>
        <v>1458.1</v>
      </c>
      <c r="R85" s="167" t="s">
        <v>0</v>
      </c>
      <c r="S85" s="148"/>
    </row>
    <row r="86" spans="1:19" ht="59.25" customHeight="1">
      <c r="A86" s="95">
        <v>1</v>
      </c>
      <c r="B86" s="94" t="s">
        <v>176</v>
      </c>
      <c r="C86" s="131"/>
      <c r="D86" s="131"/>
      <c r="E86" s="131"/>
      <c r="F86" s="131"/>
      <c r="G86" s="95">
        <v>72</v>
      </c>
      <c r="H86" s="95">
        <v>179</v>
      </c>
      <c r="I86" s="95">
        <v>240.9</v>
      </c>
      <c r="J86" s="95" t="s">
        <v>45</v>
      </c>
      <c r="K86" s="32" t="s">
        <v>44</v>
      </c>
      <c r="L86" s="109"/>
      <c r="M86" s="32">
        <v>240.9</v>
      </c>
      <c r="N86" s="32"/>
      <c r="O86" s="32"/>
      <c r="P86" s="151">
        <f>L86+M86+N86+O86</f>
        <v>240.9</v>
      </c>
      <c r="Q86" s="151">
        <f>P86</f>
        <v>240.9</v>
      </c>
      <c r="R86" s="167" t="s">
        <v>0</v>
      </c>
      <c r="S86" s="131"/>
    </row>
    <row r="87" spans="1:19" ht="59.25" customHeight="1">
      <c r="A87" s="37">
        <v>2</v>
      </c>
      <c r="B87" s="94" t="s">
        <v>177</v>
      </c>
      <c r="C87" s="131"/>
      <c r="D87" s="131"/>
      <c r="E87" s="131"/>
      <c r="F87" s="131"/>
      <c r="G87" s="95">
        <v>81</v>
      </c>
      <c r="H87" s="95">
        <v>57</v>
      </c>
      <c r="I87" s="95">
        <v>132.6</v>
      </c>
      <c r="J87" s="95" t="s">
        <v>45</v>
      </c>
      <c r="K87" s="110" t="s">
        <v>37</v>
      </c>
      <c r="L87" s="109"/>
      <c r="M87" s="32">
        <v>132.6</v>
      </c>
      <c r="N87" s="32"/>
      <c r="O87" s="32"/>
      <c r="P87" s="151">
        <f aca="true" t="shared" si="6" ref="P87:P92">L87+M87+N87+O87</f>
        <v>132.6</v>
      </c>
      <c r="Q87" s="151">
        <f>P87</f>
        <v>132.6</v>
      </c>
      <c r="R87" s="167" t="s">
        <v>0</v>
      </c>
      <c r="S87" s="131"/>
    </row>
    <row r="88" spans="1:19" ht="59.25" customHeight="1">
      <c r="A88" s="95">
        <v>3</v>
      </c>
      <c r="B88" s="94" t="s">
        <v>178</v>
      </c>
      <c r="C88" s="131"/>
      <c r="D88" s="131"/>
      <c r="E88" s="131"/>
      <c r="F88" s="131"/>
      <c r="G88" s="95">
        <v>81</v>
      </c>
      <c r="H88" s="95">
        <v>92</v>
      </c>
      <c r="I88" s="95">
        <v>266.4</v>
      </c>
      <c r="J88" s="95" t="s">
        <v>0</v>
      </c>
      <c r="K88" s="110" t="s">
        <v>37</v>
      </c>
      <c r="L88" s="109"/>
      <c r="M88" s="32">
        <v>266.4</v>
      </c>
      <c r="N88" s="32"/>
      <c r="O88" s="32"/>
      <c r="P88" s="151">
        <f t="shared" si="6"/>
        <v>266.4</v>
      </c>
      <c r="Q88" s="151">
        <f>P88</f>
        <v>266.4</v>
      </c>
      <c r="R88" s="167" t="s">
        <v>0</v>
      </c>
      <c r="S88" s="131"/>
    </row>
    <row r="89" spans="1:19" ht="59.25" customHeight="1">
      <c r="A89" s="37">
        <v>4</v>
      </c>
      <c r="B89" s="94" t="s">
        <v>179</v>
      </c>
      <c r="C89" s="131"/>
      <c r="D89" s="131"/>
      <c r="E89" s="131"/>
      <c r="F89" s="131"/>
      <c r="G89" s="95">
        <v>81</v>
      </c>
      <c r="H89" s="95">
        <v>90</v>
      </c>
      <c r="I89" s="95">
        <v>462.6</v>
      </c>
      <c r="J89" s="95" t="s">
        <v>0</v>
      </c>
      <c r="K89" s="110" t="s">
        <v>37</v>
      </c>
      <c r="L89" s="109"/>
      <c r="M89" s="32">
        <v>461.6</v>
      </c>
      <c r="N89" s="32"/>
      <c r="O89" s="32">
        <v>1</v>
      </c>
      <c r="P89" s="151">
        <f t="shared" si="6"/>
        <v>462.6</v>
      </c>
      <c r="Q89" s="151">
        <f>P89</f>
        <v>462.6</v>
      </c>
      <c r="R89" s="167" t="s">
        <v>0</v>
      </c>
      <c r="S89" s="131"/>
    </row>
    <row r="90" spans="1:19" ht="59.25" customHeight="1">
      <c r="A90" s="95">
        <v>5</v>
      </c>
      <c r="B90" s="119" t="s">
        <v>180</v>
      </c>
      <c r="C90" s="131"/>
      <c r="D90" s="131"/>
      <c r="E90" s="131"/>
      <c r="F90" s="131"/>
      <c r="G90" s="95">
        <v>81</v>
      </c>
      <c r="H90" s="95">
        <v>32</v>
      </c>
      <c r="I90" s="95">
        <v>91.6</v>
      </c>
      <c r="J90" s="95" t="s">
        <v>0</v>
      </c>
      <c r="K90" s="110" t="s">
        <v>37</v>
      </c>
      <c r="L90" s="109"/>
      <c r="M90" s="32">
        <v>91.6</v>
      </c>
      <c r="N90" s="32"/>
      <c r="O90" s="32"/>
      <c r="P90" s="151">
        <f t="shared" si="6"/>
        <v>91.6</v>
      </c>
      <c r="Q90" s="154">
        <f>P90+P91</f>
        <v>185.3</v>
      </c>
      <c r="R90" s="167" t="s">
        <v>0</v>
      </c>
      <c r="S90" s="131"/>
    </row>
    <row r="91" spans="1:19" ht="59.25" customHeight="1">
      <c r="A91" s="95">
        <v>5</v>
      </c>
      <c r="B91" s="119" t="s">
        <v>180</v>
      </c>
      <c r="C91" s="131"/>
      <c r="D91" s="131"/>
      <c r="E91" s="131"/>
      <c r="F91" s="131"/>
      <c r="G91" s="95">
        <v>81</v>
      </c>
      <c r="H91" s="95">
        <v>35</v>
      </c>
      <c r="I91" s="95">
        <f>93.7</f>
        <v>93.7</v>
      </c>
      <c r="J91" s="95" t="s">
        <v>0</v>
      </c>
      <c r="K91" s="110" t="s">
        <v>37</v>
      </c>
      <c r="L91" s="109"/>
      <c r="M91" s="32">
        <v>93.7</v>
      </c>
      <c r="N91" s="32"/>
      <c r="O91" s="32"/>
      <c r="P91" s="151">
        <f t="shared" si="6"/>
        <v>93.7</v>
      </c>
      <c r="Q91" s="155"/>
      <c r="R91" s="167" t="s">
        <v>0</v>
      </c>
      <c r="S91" s="131"/>
    </row>
    <row r="92" spans="1:19" ht="59.25" customHeight="1">
      <c r="A92" s="95">
        <v>6</v>
      </c>
      <c r="B92" s="94" t="s">
        <v>181</v>
      </c>
      <c r="C92" s="131"/>
      <c r="D92" s="131"/>
      <c r="E92" s="131"/>
      <c r="F92" s="131"/>
      <c r="G92" s="95">
        <v>81</v>
      </c>
      <c r="H92" s="95">
        <v>56</v>
      </c>
      <c r="I92" s="95">
        <v>170.3</v>
      </c>
      <c r="J92" s="95" t="s">
        <v>45</v>
      </c>
      <c r="K92" s="110" t="s">
        <v>37</v>
      </c>
      <c r="L92" s="109"/>
      <c r="M92" s="32">
        <v>170.3</v>
      </c>
      <c r="N92" s="32"/>
      <c r="O92" s="32"/>
      <c r="P92" s="151">
        <f t="shared" si="6"/>
        <v>170.3</v>
      </c>
      <c r="Q92" s="151">
        <f>P92</f>
        <v>170.3</v>
      </c>
      <c r="R92" s="167" t="s">
        <v>0</v>
      </c>
      <c r="S92" s="131"/>
    </row>
    <row r="93" spans="1:19" ht="59.25" customHeight="1">
      <c r="A93" s="850" t="s">
        <v>187</v>
      </c>
      <c r="B93" s="852"/>
      <c r="C93" s="131"/>
      <c r="D93" s="131"/>
      <c r="E93" s="131"/>
      <c r="F93" s="131"/>
      <c r="G93" s="131"/>
      <c r="H93" s="131"/>
      <c r="I93" s="131"/>
      <c r="J93" s="131"/>
      <c r="K93" s="131"/>
      <c r="L93" s="44">
        <f aca="true" t="shared" si="7" ref="L93:Q93">SUM(L94:L96)</f>
        <v>0</v>
      </c>
      <c r="M93" s="44">
        <f t="shared" si="7"/>
        <v>1502.8</v>
      </c>
      <c r="N93" s="37">
        <f t="shared" si="7"/>
        <v>0</v>
      </c>
      <c r="O93" s="37">
        <f t="shared" si="7"/>
        <v>0</v>
      </c>
      <c r="P93" s="151">
        <f t="shared" si="7"/>
        <v>1502.8</v>
      </c>
      <c r="Q93" s="151">
        <f t="shared" si="7"/>
        <v>1502.8</v>
      </c>
      <c r="R93" s="167" t="s">
        <v>0</v>
      </c>
      <c r="S93" s="131"/>
    </row>
    <row r="94" spans="1:19" ht="59.25" customHeight="1">
      <c r="A94" s="130">
        <v>1</v>
      </c>
      <c r="B94" s="149" t="s">
        <v>62</v>
      </c>
      <c r="C94" s="131"/>
      <c r="D94" s="131"/>
      <c r="E94" s="131"/>
      <c r="F94" s="131"/>
      <c r="G94" s="106">
        <v>82</v>
      </c>
      <c r="H94" s="106">
        <v>164</v>
      </c>
      <c r="I94" s="107">
        <v>472.8</v>
      </c>
      <c r="J94" s="110" t="s">
        <v>0</v>
      </c>
      <c r="K94" s="32" t="s">
        <v>63</v>
      </c>
      <c r="L94" s="109"/>
      <c r="M94" s="109">
        <v>466.1</v>
      </c>
      <c r="N94" s="32"/>
      <c r="O94" s="32"/>
      <c r="P94" s="151">
        <f>L94+M94+N94+O94</f>
        <v>466.1</v>
      </c>
      <c r="Q94" s="151">
        <f>P94</f>
        <v>466.1</v>
      </c>
      <c r="R94" s="167" t="s">
        <v>0</v>
      </c>
      <c r="S94" s="131"/>
    </row>
    <row r="95" spans="1:19" ht="59.25" customHeight="1">
      <c r="A95" s="130">
        <v>2</v>
      </c>
      <c r="B95" s="150" t="s">
        <v>64</v>
      </c>
      <c r="C95" s="131"/>
      <c r="D95" s="131"/>
      <c r="E95" s="131"/>
      <c r="F95" s="131"/>
      <c r="G95" s="106">
        <v>82</v>
      </c>
      <c r="H95" s="106">
        <v>126</v>
      </c>
      <c r="I95" s="107">
        <v>642.4</v>
      </c>
      <c r="J95" s="110" t="s">
        <v>0</v>
      </c>
      <c r="K95" s="32" t="s">
        <v>63</v>
      </c>
      <c r="L95" s="109"/>
      <c r="M95" s="109">
        <v>495.7</v>
      </c>
      <c r="N95" s="32"/>
      <c r="O95" s="32"/>
      <c r="P95" s="151">
        <f>L95+M95+N95+O95</f>
        <v>495.7</v>
      </c>
      <c r="Q95" s="151">
        <f>P95</f>
        <v>495.7</v>
      </c>
      <c r="R95" s="167" t="s">
        <v>0</v>
      </c>
      <c r="S95" s="131"/>
    </row>
    <row r="96" spans="1:19" ht="59.25" customHeight="1">
      <c r="A96" s="130">
        <v>3</v>
      </c>
      <c r="B96" s="149" t="s">
        <v>65</v>
      </c>
      <c r="C96" s="131"/>
      <c r="D96" s="131"/>
      <c r="E96" s="131"/>
      <c r="F96" s="131"/>
      <c r="G96" s="106">
        <v>82</v>
      </c>
      <c r="H96" s="106">
        <v>167</v>
      </c>
      <c r="I96" s="107">
        <v>724.1</v>
      </c>
      <c r="J96" s="110" t="s">
        <v>0</v>
      </c>
      <c r="K96" s="32" t="s">
        <v>63</v>
      </c>
      <c r="L96" s="109"/>
      <c r="M96" s="109">
        <v>541</v>
      </c>
      <c r="N96" s="32"/>
      <c r="O96" s="32"/>
      <c r="P96" s="151">
        <f>L96+M96+N96+O96</f>
        <v>541</v>
      </c>
      <c r="Q96" s="151">
        <f>P96</f>
        <v>541</v>
      </c>
      <c r="R96" s="167" t="s">
        <v>0</v>
      </c>
      <c r="S96" s="131"/>
    </row>
  </sheetData>
  <sheetProtection/>
  <mergeCells count="24">
    <mergeCell ref="A85:B85"/>
    <mergeCell ref="A93:B93"/>
    <mergeCell ref="E19:E20"/>
    <mergeCell ref="E24:E26"/>
    <mergeCell ref="E32:E33"/>
    <mergeCell ref="E34:E35"/>
    <mergeCell ref="E36:E37"/>
    <mergeCell ref="A38:B38"/>
    <mergeCell ref="P5:P6"/>
    <mergeCell ref="Q5:Q6"/>
    <mergeCell ref="R5:R6"/>
    <mergeCell ref="S5:S6"/>
    <mergeCell ref="A8:G8"/>
    <mergeCell ref="A9:B9"/>
    <mergeCell ref="A1:V1"/>
    <mergeCell ref="A2:V2"/>
    <mergeCell ref="A3:V3"/>
    <mergeCell ref="A4:V4"/>
    <mergeCell ref="A5:A6"/>
    <mergeCell ref="B5:B6"/>
    <mergeCell ref="C5:F5"/>
    <mergeCell ref="G5:K5"/>
    <mergeCell ref="L5:M5"/>
    <mergeCell ref="N5:O5"/>
  </mergeCells>
  <printOptions/>
  <pageMargins left="0.393700787401575" right="0.393700787401575" top="0.393700787401575" bottom="0.393700787401575" header="0.118109142607174" footer="0.118109142607174"/>
  <pageSetup horizontalDpi="600" verticalDpi="600" orientation="landscape" paperSize="9" scale="60" r:id="rId1"/>
  <colBreaks count="1" manualBreakCount="1">
    <brk id="2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AM99"/>
  <sheetViews>
    <sheetView zoomScale="55" zoomScaleNormal="55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12.7109375" style="23" bestFit="1" customWidth="1"/>
    <col min="2" max="2" width="52.7109375" style="24" customWidth="1"/>
    <col min="3" max="3" width="8.28125" style="2" customWidth="1"/>
    <col min="4" max="4" width="9.7109375" style="2" customWidth="1"/>
    <col min="5" max="5" width="12.7109375" style="2" customWidth="1"/>
    <col min="6" max="6" width="10.28125" style="2" customWidth="1"/>
    <col min="7" max="8" width="11.28125" style="2" customWidth="1"/>
    <col min="9" max="11" width="12.7109375" style="2" customWidth="1"/>
    <col min="12" max="12" width="15.140625" style="25" customWidth="1"/>
    <col min="13" max="13" width="12.00390625" style="2" customWidth="1"/>
    <col min="14" max="14" width="10.28125" style="2" customWidth="1"/>
    <col min="15" max="15" width="19.421875" style="2" customWidth="1"/>
    <col min="16" max="16" width="15.28125" style="2" customWidth="1"/>
    <col min="17" max="17" width="11.57421875" style="2" customWidth="1"/>
    <col min="18" max="18" width="7.28125" style="2" customWidth="1"/>
    <col min="19" max="19" width="10.57421875" style="2" customWidth="1"/>
    <col min="20" max="20" width="17.28125" style="2" customWidth="1"/>
    <col min="21" max="21" width="17.00390625" style="2" customWidth="1"/>
    <col min="22" max="22" width="19.140625" style="2" customWidth="1"/>
    <col min="23" max="23" width="9.7109375" style="25" customWidth="1"/>
    <col min="24" max="24" width="18.8515625" style="19" customWidth="1"/>
    <col min="25" max="26" width="19.57421875" style="2" customWidth="1"/>
    <col min="27" max="27" width="15.140625" style="2" customWidth="1"/>
    <col min="28" max="29" width="0" style="35" hidden="1" customWidth="1"/>
    <col min="30" max="30" width="20.00390625" style="35" hidden="1" customWidth="1"/>
    <col min="31" max="31" width="0" style="35" hidden="1" customWidth="1"/>
    <col min="32" max="32" width="24.57421875" style="35" hidden="1" customWidth="1"/>
    <col min="33" max="39" width="9.140625" style="35" customWidth="1"/>
    <col min="40" max="16384" width="9.140625" style="2" customWidth="1"/>
  </cols>
  <sheetData>
    <row r="1" spans="1:31" ht="23.25" customHeight="1">
      <c r="A1" s="875" t="s">
        <v>153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  <c r="X1" s="875"/>
      <c r="Y1" s="875"/>
      <c r="Z1" s="875"/>
      <c r="AA1" s="875"/>
      <c r="AB1" s="302"/>
      <c r="AC1" s="303"/>
      <c r="AD1" s="303"/>
      <c r="AE1" s="303"/>
    </row>
    <row r="2" spans="1:31" ht="22.5" customHeight="1">
      <c r="A2" s="875" t="s">
        <v>48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302"/>
      <c r="AC2" s="303"/>
      <c r="AD2" s="303"/>
      <c r="AE2" s="303"/>
    </row>
    <row r="3" spans="1:31" ht="13.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02"/>
      <c r="AC3" s="303"/>
      <c r="AD3" s="303"/>
      <c r="AE3" s="303"/>
    </row>
    <row r="4" spans="1:31" ht="30.75" customHeight="1">
      <c r="A4" s="875" t="s">
        <v>33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302"/>
      <c r="AC4" s="303"/>
      <c r="AD4" s="303"/>
      <c r="AE4" s="303"/>
    </row>
    <row r="5" spans="1:31" ht="30.75" customHeight="1">
      <c r="A5" s="1048" t="s">
        <v>199</v>
      </c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1048"/>
      <c r="S5" s="1048"/>
      <c r="T5" s="1048"/>
      <c r="U5" s="1048"/>
      <c r="V5" s="1048"/>
      <c r="W5" s="1048"/>
      <c r="X5" s="1048"/>
      <c r="Y5" s="1048"/>
      <c r="Z5" s="1048"/>
      <c r="AA5" s="1048"/>
      <c r="AB5" s="302"/>
      <c r="AC5" s="303"/>
      <c r="AD5" s="303"/>
      <c r="AE5" s="303"/>
    </row>
    <row r="6" spans="1:31" ht="59.25" customHeight="1">
      <c r="A6" s="867" t="s">
        <v>136</v>
      </c>
      <c r="B6" s="867" t="s">
        <v>8</v>
      </c>
      <c r="C6" s="879" t="s">
        <v>27</v>
      </c>
      <c r="D6" s="880"/>
      <c r="E6" s="881"/>
      <c r="F6" s="867" t="s">
        <v>18</v>
      </c>
      <c r="G6" s="867" t="s">
        <v>9</v>
      </c>
      <c r="H6" s="866" t="s">
        <v>148</v>
      </c>
      <c r="I6" s="866"/>
      <c r="J6" s="866" t="s">
        <v>149</v>
      </c>
      <c r="K6" s="866"/>
      <c r="L6" s="867" t="s">
        <v>14</v>
      </c>
      <c r="M6" s="869" t="s">
        <v>15</v>
      </c>
      <c r="N6" s="871" t="s">
        <v>22</v>
      </c>
      <c r="O6" s="872"/>
      <c r="P6" s="871" t="s">
        <v>10</v>
      </c>
      <c r="Q6" s="873"/>
      <c r="R6" s="873"/>
      <c r="S6" s="873"/>
      <c r="T6" s="872"/>
      <c r="U6" s="874" t="s">
        <v>24</v>
      </c>
      <c r="V6" s="874"/>
      <c r="W6" s="874"/>
      <c r="X6" s="874"/>
      <c r="Y6" s="882" t="s">
        <v>16</v>
      </c>
      <c r="Z6" s="884" t="s">
        <v>17</v>
      </c>
      <c r="AA6" s="866" t="s">
        <v>7</v>
      </c>
      <c r="AB6" s="302"/>
      <c r="AC6" s="303"/>
      <c r="AD6" s="303"/>
      <c r="AE6" s="303"/>
    </row>
    <row r="7" spans="1:39" s="337" customFormat="1" ht="183" customHeight="1">
      <c r="A7" s="868"/>
      <c r="B7" s="868"/>
      <c r="C7" s="329" t="s">
        <v>1</v>
      </c>
      <c r="D7" s="329" t="s">
        <v>3</v>
      </c>
      <c r="E7" s="330" t="s">
        <v>4</v>
      </c>
      <c r="F7" s="868"/>
      <c r="G7" s="868"/>
      <c r="H7" s="326" t="s">
        <v>202</v>
      </c>
      <c r="I7" s="327" t="s">
        <v>146</v>
      </c>
      <c r="J7" s="326" t="s">
        <v>202</v>
      </c>
      <c r="K7" s="327" t="s">
        <v>146</v>
      </c>
      <c r="L7" s="868"/>
      <c r="M7" s="870"/>
      <c r="N7" s="327" t="s">
        <v>12</v>
      </c>
      <c r="O7" s="331" t="s">
        <v>21</v>
      </c>
      <c r="P7" s="170" t="s">
        <v>11</v>
      </c>
      <c r="Q7" s="332" t="s">
        <v>20</v>
      </c>
      <c r="R7" s="170" t="s">
        <v>19</v>
      </c>
      <c r="S7" s="170" t="s">
        <v>12</v>
      </c>
      <c r="T7" s="333" t="s">
        <v>13</v>
      </c>
      <c r="U7" s="333" t="s">
        <v>28</v>
      </c>
      <c r="V7" s="333" t="s">
        <v>29</v>
      </c>
      <c r="W7" s="333" t="s">
        <v>25</v>
      </c>
      <c r="X7" s="170" t="s">
        <v>23</v>
      </c>
      <c r="Y7" s="883"/>
      <c r="Z7" s="885"/>
      <c r="AA7" s="866"/>
      <c r="AB7" s="334"/>
      <c r="AC7" s="335"/>
      <c r="AD7" s="335"/>
      <c r="AE7" s="335"/>
      <c r="AF7" s="336"/>
      <c r="AG7" s="336"/>
      <c r="AH7" s="336"/>
      <c r="AI7" s="336"/>
      <c r="AJ7" s="336"/>
      <c r="AK7" s="336"/>
      <c r="AL7" s="336"/>
      <c r="AM7" s="336"/>
    </row>
    <row r="8" spans="1:31" ht="22.5" customHeight="1">
      <c r="A8" s="14">
        <v>1</v>
      </c>
      <c r="B8" s="15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/>
      <c r="I8" s="14"/>
      <c r="J8" s="14"/>
      <c r="K8" s="14"/>
      <c r="L8" s="14">
        <v>11</v>
      </c>
      <c r="M8" s="14">
        <v>12</v>
      </c>
      <c r="N8" s="14">
        <v>14</v>
      </c>
      <c r="O8" s="14">
        <v>15</v>
      </c>
      <c r="P8" s="14">
        <v>17</v>
      </c>
      <c r="Q8" s="14">
        <v>18</v>
      </c>
      <c r="R8" s="14">
        <v>19</v>
      </c>
      <c r="S8" s="14">
        <v>20</v>
      </c>
      <c r="T8" s="14">
        <v>21</v>
      </c>
      <c r="U8" s="14">
        <v>22</v>
      </c>
      <c r="V8" s="14">
        <v>23</v>
      </c>
      <c r="W8" s="14">
        <v>25</v>
      </c>
      <c r="X8" s="14">
        <v>26</v>
      </c>
      <c r="Y8" s="16">
        <v>27</v>
      </c>
      <c r="Z8" s="14">
        <v>28</v>
      </c>
      <c r="AA8" s="14">
        <v>29</v>
      </c>
      <c r="AB8" s="302"/>
      <c r="AC8" s="303"/>
      <c r="AD8" s="303"/>
      <c r="AE8" s="303"/>
    </row>
    <row r="9" spans="1:39" s="43" customFormat="1" ht="66.75" customHeight="1">
      <c r="A9" s="860" t="s">
        <v>151</v>
      </c>
      <c r="B9" s="861"/>
      <c r="C9" s="60"/>
      <c r="D9" s="60"/>
      <c r="E9" s="60"/>
      <c r="F9" s="60"/>
      <c r="G9" s="60"/>
      <c r="H9" s="33">
        <f aca="true" t="shared" si="0" ref="H9:M9">H10+H39+H86+H94</f>
        <v>8893</v>
      </c>
      <c r="I9" s="33">
        <f t="shared" si="0"/>
        <v>6047.000000000001</v>
      </c>
      <c r="J9" s="33">
        <f t="shared" si="0"/>
        <v>16.5</v>
      </c>
      <c r="K9" s="33">
        <f t="shared" si="0"/>
        <v>136.1</v>
      </c>
      <c r="L9" s="33">
        <f t="shared" si="0"/>
        <v>15092.6</v>
      </c>
      <c r="M9" s="33">
        <f t="shared" si="0"/>
        <v>15092.6</v>
      </c>
      <c r="N9" s="33"/>
      <c r="O9" s="33"/>
      <c r="P9" s="33"/>
      <c r="Q9" s="33">
        <f>Q10+Q39+Q86+Q94</f>
        <v>15092.6</v>
      </c>
      <c r="R9" s="33"/>
      <c r="S9" s="33"/>
      <c r="T9" s="105">
        <f aca="true" t="shared" si="1" ref="T9:Z9">T10+T39+T86+T94</f>
        <v>147034240</v>
      </c>
      <c r="U9" s="105">
        <f t="shared" si="1"/>
        <v>150926000</v>
      </c>
      <c r="V9" s="105">
        <f t="shared" si="1"/>
        <v>2716668000</v>
      </c>
      <c r="W9" s="105">
        <f t="shared" si="1"/>
        <v>60</v>
      </c>
      <c r="X9" s="105">
        <f t="shared" si="1"/>
        <v>210000000</v>
      </c>
      <c r="Y9" s="105">
        <f t="shared" si="1"/>
        <v>4130184240</v>
      </c>
      <c r="Z9" s="105">
        <f t="shared" si="1"/>
        <v>4130184240</v>
      </c>
      <c r="AA9" s="60"/>
      <c r="AB9" s="302"/>
      <c r="AC9" s="303"/>
      <c r="AD9" s="303"/>
      <c r="AE9" s="303"/>
      <c r="AF9" s="315">
        <f>Q9-Q41</f>
        <v>14950.4</v>
      </c>
      <c r="AG9" s="35"/>
      <c r="AH9" s="35"/>
      <c r="AI9" s="35"/>
      <c r="AJ9" s="35"/>
      <c r="AK9" s="35"/>
      <c r="AL9" s="35"/>
      <c r="AM9" s="35"/>
    </row>
    <row r="10" spans="1:39" s="123" customFormat="1" ht="47.25" customHeight="1">
      <c r="A10" s="30" t="s">
        <v>84</v>
      </c>
      <c r="B10" s="56" t="s">
        <v>34</v>
      </c>
      <c r="C10" s="30"/>
      <c r="D10" s="30"/>
      <c r="E10" s="64"/>
      <c r="F10" s="30"/>
      <c r="G10" s="33"/>
      <c r="H10" s="33">
        <f>SUM(H11:H38)</f>
        <v>4439.5</v>
      </c>
      <c r="I10" s="33">
        <f>SUM(I11:I38)</f>
        <v>125.79999999999998</v>
      </c>
      <c r="J10" s="33">
        <f>SUM(J11:J38)</f>
        <v>0.7999999999999999</v>
      </c>
      <c r="K10" s="33">
        <f>SUM(K11:K38)</f>
        <v>0</v>
      </c>
      <c r="L10" s="33">
        <f>SUM(L11:L38)</f>
        <v>4566.099999999999</v>
      </c>
      <c r="M10" s="33">
        <f aca="true" t="shared" si="2" ref="M10:Z10">SUM(M11:M38)</f>
        <v>4566.099999999999</v>
      </c>
      <c r="N10" s="33"/>
      <c r="O10" s="105">
        <f t="shared" si="2"/>
        <v>273966000</v>
      </c>
      <c r="P10" s="33"/>
      <c r="Q10" s="33">
        <f t="shared" si="2"/>
        <v>4566.099999999999</v>
      </c>
      <c r="R10" s="33">
        <f t="shared" si="2"/>
        <v>0</v>
      </c>
      <c r="S10" s="33"/>
      <c r="T10" s="105">
        <f t="shared" si="2"/>
        <v>43377950</v>
      </c>
      <c r="U10" s="105">
        <f t="shared" si="2"/>
        <v>45661000</v>
      </c>
      <c r="V10" s="105">
        <f t="shared" si="2"/>
        <v>821898000</v>
      </c>
      <c r="W10" s="105">
        <f>SUM(W11:W38)</f>
        <v>15</v>
      </c>
      <c r="X10" s="105">
        <f t="shared" si="2"/>
        <v>52500000</v>
      </c>
      <c r="Y10" s="105">
        <f t="shared" si="2"/>
        <v>1237402950</v>
      </c>
      <c r="Z10" s="105">
        <f t="shared" si="2"/>
        <v>1237402950</v>
      </c>
      <c r="AA10" s="30"/>
      <c r="AB10" s="302"/>
      <c r="AC10" s="303"/>
      <c r="AD10" s="315">
        <f>H9+J9</f>
        <v>8909.5</v>
      </c>
      <c r="AE10" s="303"/>
      <c r="AF10" s="317">
        <f>AF9*259500</f>
        <v>3879628800</v>
      </c>
      <c r="AG10" s="35"/>
      <c r="AH10" s="35"/>
      <c r="AI10" s="35"/>
      <c r="AJ10" s="35"/>
      <c r="AK10" s="35"/>
      <c r="AL10" s="35"/>
      <c r="AM10" s="35"/>
    </row>
    <row r="11" spans="1:39" s="123" customFormat="1" ht="63.75" customHeight="1">
      <c r="A11" s="30">
        <v>1</v>
      </c>
      <c r="B11" s="71" t="s">
        <v>154</v>
      </c>
      <c r="C11" s="106">
        <v>71</v>
      </c>
      <c r="D11" s="106">
        <v>54</v>
      </c>
      <c r="E11" s="107">
        <v>400.6</v>
      </c>
      <c r="F11" s="30" t="s">
        <v>0</v>
      </c>
      <c r="G11" s="32" t="s">
        <v>32</v>
      </c>
      <c r="H11" s="109">
        <v>392.5</v>
      </c>
      <c r="I11" s="109">
        <f>E11-H11</f>
        <v>8.100000000000023</v>
      </c>
      <c r="J11" s="109"/>
      <c r="K11" s="109"/>
      <c r="L11" s="33">
        <f>H11+I11+J11+K11</f>
        <v>400.6</v>
      </c>
      <c r="M11" s="288">
        <f>SUM(L11:L17)</f>
        <v>717.8000000000001</v>
      </c>
      <c r="N11" s="105">
        <v>60000</v>
      </c>
      <c r="O11" s="105">
        <f aca="true" t="shared" si="3" ref="O11:O38">L11*N11</f>
        <v>24036000</v>
      </c>
      <c r="P11" s="33" t="s">
        <v>30</v>
      </c>
      <c r="Q11" s="33">
        <f aca="true" t="shared" si="4" ref="Q11:Q38">L11</f>
        <v>400.6</v>
      </c>
      <c r="R11" s="33" t="s">
        <v>39</v>
      </c>
      <c r="S11" s="105">
        <v>9500</v>
      </c>
      <c r="T11" s="105">
        <f aca="true" t="shared" si="5" ref="T11:T38">Q11*S11</f>
        <v>3805700</v>
      </c>
      <c r="U11" s="105">
        <f>L11*10000</f>
        <v>4006000</v>
      </c>
      <c r="V11" s="105">
        <f aca="true" t="shared" si="6" ref="V11:V38">L11*N11*3</f>
        <v>72108000</v>
      </c>
      <c r="W11" s="105">
        <f>INT(M11/201.6)</f>
        <v>3</v>
      </c>
      <c r="X11" s="34">
        <f>W11*3500000</f>
        <v>10500000</v>
      </c>
      <c r="Y11" s="246">
        <f aca="true" t="shared" si="7" ref="Y11:Y38">O11+T11+U11+V11+X11</f>
        <v>114455700</v>
      </c>
      <c r="Z11" s="289">
        <f>SUM(Y11:Y17)</f>
        <v>196769100</v>
      </c>
      <c r="AA11" s="30"/>
      <c r="AB11" s="302"/>
      <c r="AC11" s="303"/>
      <c r="AD11" s="315">
        <f>I9+K9</f>
        <v>6183.100000000001</v>
      </c>
      <c r="AE11" s="303"/>
      <c r="AF11" s="317">
        <f>Y41</f>
        <v>40555440</v>
      </c>
      <c r="AG11" s="35"/>
      <c r="AH11" s="35"/>
      <c r="AI11" s="35"/>
      <c r="AJ11" s="35"/>
      <c r="AK11" s="35"/>
      <c r="AL11" s="35"/>
      <c r="AM11" s="35"/>
    </row>
    <row r="12" spans="1:32" s="35" customFormat="1" ht="63.75" customHeight="1">
      <c r="A12" s="30">
        <v>1</v>
      </c>
      <c r="B12" s="71" t="s">
        <v>154</v>
      </c>
      <c r="C12" s="106">
        <v>71</v>
      </c>
      <c r="D12" s="106">
        <v>71</v>
      </c>
      <c r="E12" s="107">
        <v>126.7</v>
      </c>
      <c r="F12" s="30" t="s">
        <v>0</v>
      </c>
      <c r="G12" s="32" t="s">
        <v>32</v>
      </c>
      <c r="H12" s="109">
        <f>E12</f>
        <v>126.7</v>
      </c>
      <c r="I12" s="109"/>
      <c r="J12" s="109"/>
      <c r="K12" s="109"/>
      <c r="L12" s="33">
        <f>H12+I12+J12+K12</f>
        <v>126.7</v>
      </c>
      <c r="M12" s="290"/>
      <c r="N12" s="105">
        <v>60000</v>
      </c>
      <c r="O12" s="105">
        <f t="shared" si="3"/>
        <v>7602000</v>
      </c>
      <c r="P12" s="33" t="s">
        <v>30</v>
      </c>
      <c r="Q12" s="33">
        <f t="shared" si="4"/>
        <v>126.7</v>
      </c>
      <c r="R12" s="33" t="s">
        <v>39</v>
      </c>
      <c r="S12" s="105">
        <v>9500</v>
      </c>
      <c r="T12" s="105">
        <f t="shared" si="5"/>
        <v>1203650</v>
      </c>
      <c r="U12" s="105">
        <f>L12*10000</f>
        <v>1267000</v>
      </c>
      <c r="V12" s="105">
        <f t="shared" si="6"/>
        <v>22806000</v>
      </c>
      <c r="W12" s="105">
        <f>INT(M12/201.6)</f>
        <v>0</v>
      </c>
      <c r="X12" s="34">
        <f>W12*3500000</f>
        <v>0</v>
      </c>
      <c r="Y12" s="246">
        <f t="shared" si="7"/>
        <v>32878650</v>
      </c>
      <c r="Z12" s="291"/>
      <c r="AA12" s="30"/>
      <c r="AB12" s="302"/>
      <c r="AC12" s="303"/>
      <c r="AD12" s="303"/>
      <c r="AE12" s="303"/>
      <c r="AF12" s="317">
        <f>X9</f>
        <v>210000000</v>
      </c>
    </row>
    <row r="13" spans="1:39" s="305" customFormat="1" ht="63.75" customHeight="1">
      <c r="A13" s="30">
        <v>1</v>
      </c>
      <c r="B13" s="71" t="s">
        <v>154</v>
      </c>
      <c r="C13" s="106">
        <v>71</v>
      </c>
      <c r="D13" s="106">
        <v>72</v>
      </c>
      <c r="E13" s="36">
        <v>135.9</v>
      </c>
      <c r="F13" s="30" t="s">
        <v>0</v>
      </c>
      <c r="G13" s="32" t="s">
        <v>32</v>
      </c>
      <c r="H13" s="109">
        <f>236.3-126.7</f>
        <v>109.60000000000001</v>
      </c>
      <c r="I13" s="109">
        <f>E13-H13</f>
        <v>26.299999999999997</v>
      </c>
      <c r="J13" s="109"/>
      <c r="K13" s="109"/>
      <c r="L13" s="33">
        <f aca="true" t="shared" si="8" ref="L13:L38">H13+I13+J13+K13</f>
        <v>135.9</v>
      </c>
      <c r="M13" s="290"/>
      <c r="N13" s="105">
        <v>60000</v>
      </c>
      <c r="O13" s="105">
        <f t="shared" si="3"/>
        <v>8154000</v>
      </c>
      <c r="P13" s="33" t="s">
        <v>30</v>
      </c>
      <c r="Q13" s="33">
        <f t="shared" si="4"/>
        <v>135.9</v>
      </c>
      <c r="R13" s="33" t="s">
        <v>39</v>
      </c>
      <c r="S13" s="105">
        <v>9500</v>
      </c>
      <c r="T13" s="105">
        <f t="shared" si="5"/>
        <v>1291050</v>
      </c>
      <c r="U13" s="105">
        <f aca="true" t="shared" si="9" ref="U13:U38">L13*10000</f>
        <v>1359000</v>
      </c>
      <c r="V13" s="105">
        <f t="shared" si="6"/>
        <v>24462000</v>
      </c>
      <c r="W13" s="105">
        <f>INT(M13/201.6)</f>
        <v>0</v>
      </c>
      <c r="X13" s="34">
        <f>W13*3500000</f>
        <v>0</v>
      </c>
      <c r="Y13" s="246">
        <f t="shared" si="7"/>
        <v>35266050</v>
      </c>
      <c r="Z13" s="291"/>
      <c r="AA13" s="124" t="s">
        <v>71</v>
      </c>
      <c r="AB13" s="304"/>
      <c r="AC13" s="311"/>
      <c r="AD13" s="303"/>
      <c r="AE13" s="303"/>
      <c r="AF13" s="303"/>
      <c r="AG13" s="311"/>
      <c r="AH13" s="311"/>
      <c r="AI13" s="311"/>
      <c r="AJ13" s="311"/>
      <c r="AK13" s="311"/>
      <c r="AL13" s="311"/>
      <c r="AM13" s="311"/>
    </row>
    <row r="14" spans="1:39" s="305" customFormat="1" ht="63.75" customHeight="1">
      <c r="A14" s="30">
        <v>1</v>
      </c>
      <c r="B14" s="71" t="s">
        <v>154</v>
      </c>
      <c r="C14" s="37">
        <v>71</v>
      </c>
      <c r="D14" s="37">
        <v>56</v>
      </c>
      <c r="E14" s="37">
        <v>263</v>
      </c>
      <c r="F14" s="30" t="s">
        <v>0</v>
      </c>
      <c r="G14" s="32" t="s">
        <v>32</v>
      </c>
      <c r="H14" s="109"/>
      <c r="I14" s="109">
        <f>40.7</f>
        <v>40.7</v>
      </c>
      <c r="J14" s="109"/>
      <c r="K14" s="109"/>
      <c r="L14" s="33">
        <f t="shared" si="8"/>
        <v>40.7</v>
      </c>
      <c r="M14" s="290"/>
      <c r="N14" s="105">
        <v>60000</v>
      </c>
      <c r="O14" s="105">
        <f t="shared" si="3"/>
        <v>2442000</v>
      </c>
      <c r="P14" s="33" t="s">
        <v>30</v>
      </c>
      <c r="Q14" s="33">
        <f t="shared" si="4"/>
        <v>40.7</v>
      </c>
      <c r="R14" s="33" t="s">
        <v>38</v>
      </c>
      <c r="S14" s="105">
        <v>9500</v>
      </c>
      <c r="T14" s="105">
        <f t="shared" si="5"/>
        <v>386650</v>
      </c>
      <c r="U14" s="105">
        <f t="shared" si="9"/>
        <v>407000</v>
      </c>
      <c r="V14" s="105">
        <f t="shared" si="6"/>
        <v>7326000</v>
      </c>
      <c r="W14" s="105">
        <f aca="true" t="shared" si="10" ref="W14:W38">INT(M14/201.6)</f>
        <v>0</v>
      </c>
      <c r="X14" s="34">
        <f aca="true" t="shared" si="11" ref="X14:X38">W14*3500000</f>
        <v>0</v>
      </c>
      <c r="Y14" s="246">
        <f t="shared" si="7"/>
        <v>10561650</v>
      </c>
      <c r="Z14" s="291"/>
      <c r="AA14" s="37" t="s">
        <v>71</v>
      </c>
      <c r="AB14" s="311"/>
      <c r="AC14" s="311"/>
      <c r="AD14" s="303"/>
      <c r="AE14" s="303"/>
      <c r="AF14" s="303"/>
      <c r="AG14" s="311"/>
      <c r="AH14" s="311"/>
      <c r="AI14" s="311"/>
      <c r="AJ14" s="311"/>
      <c r="AK14" s="311"/>
      <c r="AL14" s="311"/>
      <c r="AM14" s="311"/>
    </row>
    <row r="15" spans="1:39" s="305" customFormat="1" ht="63.75" customHeight="1">
      <c r="A15" s="30">
        <v>1</v>
      </c>
      <c r="B15" s="71" t="s">
        <v>154</v>
      </c>
      <c r="C15" s="39">
        <v>71</v>
      </c>
      <c r="D15" s="36">
        <v>57</v>
      </c>
      <c r="E15" s="36">
        <v>313.9</v>
      </c>
      <c r="F15" s="30" t="s">
        <v>0</v>
      </c>
      <c r="G15" s="32" t="s">
        <v>32</v>
      </c>
      <c r="H15" s="109"/>
      <c r="I15" s="109">
        <v>2.2</v>
      </c>
      <c r="J15" s="109"/>
      <c r="K15" s="109"/>
      <c r="L15" s="33">
        <f t="shared" si="8"/>
        <v>2.2</v>
      </c>
      <c r="M15" s="290"/>
      <c r="N15" s="105">
        <v>60000</v>
      </c>
      <c r="O15" s="105">
        <f t="shared" si="3"/>
        <v>132000</v>
      </c>
      <c r="P15" s="33" t="s">
        <v>30</v>
      </c>
      <c r="Q15" s="33">
        <f t="shared" si="4"/>
        <v>2.2</v>
      </c>
      <c r="R15" s="33" t="s">
        <v>38</v>
      </c>
      <c r="S15" s="105">
        <v>9500</v>
      </c>
      <c r="T15" s="105">
        <f t="shared" si="5"/>
        <v>20900</v>
      </c>
      <c r="U15" s="105">
        <f t="shared" si="9"/>
        <v>22000</v>
      </c>
      <c r="V15" s="105">
        <f t="shared" si="6"/>
        <v>396000</v>
      </c>
      <c r="W15" s="105">
        <f t="shared" si="10"/>
        <v>0</v>
      </c>
      <c r="X15" s="34">
        <f t="shared" si="11"/>
        <v>0</v>
      </c>
      <c r="Y15" s="246">
        <f t="shared" si="7"/>
        <v>570900</v>
      </c>
      <c r="Z15" s="291"/>
      <c r="AA15" s="37"/>
      <c r="AB15" s="311"/>
      <c r="AC15" s="311"/>
      <c r="AD15" s="312">
        <f>AD14-Z9</f>
        <v>-4130184240</v>
      </c>
      <c r="AE15" s="311"/>
      <c r="AF15" s="311"/>
      <c r="AG15" s="311"/>
      <c r="AH15" s="311"/>
      <c r="AI15" s="311"/>
      <c r="AJ15" s="311"/>
      <c r="AK15" s="311"/>
      <c r="AL15" s="311"/>
      <c r="AM15" s="311"/>
    </row>
    <row r="16" spans="1:39" s="305" customFormat="1" ht="63.75" customHeight="1">
      <c r="A16" s="30">
        <v>1</v>
      </c>
      <c r="B16" s="71" t="s">
        <v>154</v>
      </c>
      <c r="C16" s="39">
        <v>71</v>
      </c>
      <c r="D16" s="36">
        <v>125</v>
      </c>
      <c r="E16" s="36">
        <v>58.1</v>
      </c>
      <c r="F16" s="30" t="s">
        <v>101</v>
      </c>
      <c r="G16" s="32" t="s">
        <v>32</v>
      </c>
      <c r="H16" s="109"/>
      <c r="I16" s="109">
        <v>3.3</v>
      </c>
      <c r="J16" s="32"/>
      <c r="K16" s="109"/>
      <c r="L16" s="33">
        <f t="shared" si="8"/>
        <v>3.3</v>
      </c>
      <c r="M16" s="290"/>
      <c r="N16" s="105">
        <v>60000</v>
      </c>
      <c r="O16" s="105">
        <f t="shared" si="3"/>
        <v>198000</v>
      </c>
      <c r="P16" s="33" t="s">
        <v>30</v>
      </c>
      <c r="Q16" s="33">
        <f t="shared" si="4"/>
        <v>3.3</v>
      </c>
      <c r="R16" s="33" t="s">
        <v>38</v>
      </c>
      <c r="S16" s="105">
        <v>9500</v>
      </c>
      <c r="T16" s="105">
        <f t="shared" si="5"/>
        <v>31350</v>
      </c>
      <c r="U16" s="105">
        <f t="shared" si="9"/>
        <v>33000</v>
      </c>
      <c r="V16" s="105">
        <f t="shared" si="6"/>
        <v>594000</v>
      </c>
      <c r="W16" s="105">
        <f t="shared" si="10"/>
        <v>0</v>
      </c>
      <c r="X16" s="34">
        <f t="shared" si="11"/>
        <v>0</v>
      </c>
      <c r="Y16" s="246">
        <f t="shared" si="7"/>
        <v>856350</v>
      </c>
      <c r="Z16" s="291"/>
      <c r="AA16" s="37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</row>
    <row r="17" spans="1:39" s="43" customFormat="1" ht="63.75" customHeight="1">
      <c r="A17" s="30">
        <v>1</v>
      </c>
      <c r="B17" s="71" t="s">
        <v>154</v>
      </c>
      <c r="C17" s="106">
        <v>71</v>
      </c>
      <c r="D17" s="106">
        <v>73</v>
      </c>
      <c r="E17" s="107">
        <v>325.9</v>
      </c>
      <c r="F17" s="110" t="s">
        <v>0</v>
      </c>
      <c r="G17" s="32" t="s">
        <v>32</v>
      </c>
      <c r="H17" s="109"/>
      <c r="I17" s="109">
        <v>8.4</v>
      </c>
      <c r="J17" s="92"/>
      <c r="K17" s="109"/>
      <c r="L17" s="33">
        <f t="shared" si="8"/>
        <v>8.4</v>
      </c>
      <c r="M17" s="40"/>
      <c r="N17" s="105">
        <v>60000</v>
      </c>
      <c r="O17" s="105">
        <f>L17*N17</f>
        <v>504000</v>
      </c>
      <c r="P17" s="33" t="s">
        <v>30</v>
      </c>
      <c r="Q17" s="33">
        <f>L17</f>
        <v>8.4</v>
      </c>
      <c r="R17" s="33" t="s">
        <v>80</v>
      </c>
      <c r="S17" s="105">
        <v>9500</v>
      </c>
      <c r="T17" s="105">
        <f>Q17*S17</f>
        <v>79800</v>
      </c>
      <c r="U17" s="105">
        <f>L17*10000</f>
        <v>84000</v>
      </c>
      <c r="V17" s="105">
        <f>L17*N17*3</f>
        <v>1512000</v>
      </c>
      <c r="W17" s="105">
        <f t="shared" si="10"/>
        <v>0</v>
      </c>
      <c r="X17" s="34">
        <f t="shared" si="11"/>
        <v>0</v>
      </c>
      <c r="Y17" s="246">
        <f t="shared" si="7"/>
        <v>2179800</v>
      </c>
      <c r="Z17" s="292"/>
      <c r="AA17" s="37"/>
      <c r="AB17" s="302"/>
      <c r="AC17" s="303"/>
      <c r="AD17" s="303"/>
      <c r="AE17" s="303"/>
      <c r="AF17" s="35"/>
      <c r="AG17" s="35"/>
      <c r="AH17" s="35"/>
      <c r="AI17" s="35"/>
      <c r="AJ17" s="35"/>
      <c r="AK17" s="35"/>
      <c r="AL17" s="35"/>
      <c r="AM17" s="35"/>
    </row>
    <row r="18" spans="1:39" s="42" customFormat="1" ht="63.75" customHeight="1">
      <c r="A18" s="36">
        <v>2</v>
      </c>
      <c r="B18" s="71" t="s">
        <v>155</v>
      </c>
      <c r="C18" s="37">
        <v>71</v>
      </c>
      <c r="D18" s="37">
        <v>56</v>
      </c>
      <c r="E18" s="37">
        <v>263</v>
      </c>
      <c r="F18" s="30" t="s">
        <v>0</v>
      </c>
      <c r="G18" s="32" t="s">
        <v>32</v>
      </c>
      <c r="H18" s="109">
        <v>189.2</v>
      </c>
      <c r="I18" s="109"/>
      <c r="J18" s="109"/>
      <c r="K18" s="109"/>
      <c r="L18" s="33">
        <f t="shared" si="8"/>
        <v>189.2</v>
      </c>
      <c r="M18" s="40">
        <f>L18</f>
        <v>189.2</v>
      </c>
      <c r="N18" s="105">
        <v>60000</v>
      </c>
      <c r="O18" s="105">
        <f t="shared" si="3"/>
        <v>11352000</v>
      </c>
      <c r="P18" s="33" t="s">
        <v>30</v>
      </c>
      <c r="Q18" s="33">
        <f t="shared" si="4"/>
        <v>189.2</v>
      </c>
      <c r="R18" s="33" t="s">
        <v>38</v>
      </c>
      <c r="S18" s="105">
        <v>9500</v>
      </c>
      <c r="T18" s="105">
        <f t="shared" si="5"/>
        <v>1797400</v>
      </c>
      <c r="U18" s="105">
        <f t="shared" si="9"/>
        <v>1892000</v>
      </c>
      <c r="V18" s="105">
        <f t="shared" si="6"/>
        <v>34056000</v>
      </c>
      <c r="W18" s="105">
        <f t="shared" si="10"/>
        <v>0</v>
      </c>
      <c r="X18" s="34">
        <f t="shared" si="11"/>
        <v>0</v>
      </c>
      <c r="Y18" s="246">
        <f t="shared" si="7"/>
        <v>49097400</v>
      </c>
      <c r="Z18" s="111">
        <f>Y18</f>
        <v>49097400</v>
      </c>
      <c r="AA18" s="37" t="s">
        <v>71</v>
      </c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</row>
    <row r="19" spans="1:39" s="305" customFormat="1" ht="63.75" customHeight="1">
      <c r="A19" s="36">
        <v>3</v>
      </c>
      <c r="B19" s="101" t="s">
        <v>156</v>
      </c>
      <c r="C19" s="39">
        <v>71</v>
      </c>
      <c r="D19" s="36">
        <v>57</v>
      </c>
      <c r="E19" s="36">
        <v>313.9</v>
      </c>
      <c r="F19" s="30" t="s">
        <v>0</v>
      </c>
      <c r="G19" s="32" t="s">
        <v>32</v>
      </c>
      <c r="H19" s="109">
        <v>251</v>
      </c>
      <c r="I19" s="109"/>
      <c r="J19" s="109"/>
      <c r="K19" s="109"/>
      <c r="L19" s="33">
        <f t="shared" si="8"/>
        <v>251</v>
      </c>
      <c r="M19" s="40">
        <f>L19</f>
        <v>251</v>
      </c>
      <c r="N19" s="105">
        <v>60000</v>
      </c>
      <c r="O19" s="105">
        <f t="shared" si="3"/>
        <v>15060000</v>
      </c>
      <c r="P19" s="33" t="s">
        <v>30</v>
      </c>
      <c r="Q19" s="33">
        <f t="shared" si="4"/>
        <v>251</v>
      </c>
      <c r="R19" s="33" t="s">
        <v>38</v>
      </c>
      <c r="S19" s="105">
        <v>9500</v>
      </c>
      <c r="T19" s="105">
        <f t="shared" si="5"/>
        <v>2384500</v>
      </c>
      <c r="U19" s="105">
        <f t="shared" si="9"/>
        <v>2510000</v>
      </c>
      <c r="V19" s="105">
        <f t="shared" si="6"/>
        <v>45180000</v>
      </c>
      <c r="W19" s="105">
        <f t="shared" si="10"/>
        <v>1</v>
      </c>
      <c r="X19" s="34">
        <f t="shared" si="11"/>
        <v>3500000</v>
      </c>
      <c r="Y19" s="246">
        <f t="shared" si="7"/>
        <v>68634500</v>
      </c>
      <c r="Z19" s="111">
        <f>Y19</f>
        <v>68634500</v>
      </c>
      <c r="AA19" s="37" t="s">
        <v>71</v>
      </c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</row>
    <row r="20" spans="1:39" s="43" customFormat="1" ht="63.75" customHeight="1">
      <c r="A20" s="36">
        <v>4</v>
      </c>
      <c r="B20" s="71" t="s">
        <v>157</v>
      </c>
      <c r="C20" s="37">
        <v>71</v>
      </c>
      <c r="D20" s="37">
        <v>56</v>
      </c>
      <c r="E20" s="37">
        <v>263</v>
      </c>
      <c r="F20" s="30" t="s">
        <v>0</v>
      </c>
      <c r="G20" s="32" t="s">
        <v>32</v>
      </c>
      <c r="H20" s="109">
        <v>33.1</v>
      </c>
      <c r="I20" s="109"/>
      <c r="J20" s="109"/>
      <c r="K20" s="109"/>
      <c r="L20" s="33">
        <f t="shared" si="8"/>
        <v>33.1</v>
      </c>
      <c r="M20" s="288">
        <f>SUM(L20:L21)</f>
        <v>274.3</v>
      </c>
      <c r="N20" s="105">
        <v>60000</v>
      </c>
      <c r="O20" s="105">
        <f t="shared" si="3"/>
        <v>1986000</v>
      </c>
      <c r="P20" s="33" t="s">
        <v>30</v>
      </c>
      <c r="Q20" s="33">
        <f t="shared" si="4"/>
        <v>33.1</v>
      </c>
      <c r="R20" s="33" t="s">
        <v>38</v>
      </c>
      <c r="S20" s="105">
        <v>9500</v>
      </c>
      <c r="T20" s="105">
        <f t="shared" si="5"/>
        <v>314450</v>
      </c>
      <c r="U20" s="105">
        <f t="shared" si="9"/>
        <v>331000</v>
      </c>
      <c r="V20" s="105">
        <f t="shared" si="6"/>
        <v>5958000</v>
      </c>
      <c r="W20" s="105">
        <f t="shared" si="10"/>
        <v>1</v>
      </c>
      <c r="X20" s="34">
        <f t="shared" si="11"/>
        <v>3500000</v>
      </c>
      <c r="Y20" s="246">
        <f t="shared" si="7"/>
        <v>12089450</v>
      </c>
      <c r="Z20" s="289">
        <f>SUM(Y20:Y21)</f>
        <v>74680850</v>
      </c>
      <c r="AA20" s="37" t="s">
        <v>71</v>
      </c>
      <c r="AB20" s="302"/>
      <c r="AC20" s="303"/>
      <c r="AD20" s="303"/>
      <c r="AE20" s="303"/>
      <c r="AF20" s="35"/>
      <c r="AG20" s="35"/>
      <c r="AH20" s="35"/>
      <c r="AI20" s="35"/>
      <c r="AJ20" s="35"/>
      <c r="AK20" s="35"/>
      <c r="AL20" s="35"/>
      <c r="AM20" s="35"/>
    </row>
    <row r="21" spans="1:39" s="43" customFormat="1" ht="63.75" customHeight="1">
      <c r="A21" s="36">
        <v>4</v>
      </c>
      <c r="B21" s="71" t="s">
        <v>157</v>
      </c>
      <c r="C21" s="37">
        <v>71</v>
      </c>
      <c r="D21" s="37">
        <v>55</v>
      </c>
      <c r="E21" s="37">
        <v>241.2</v>
      </c>
      <c r="F21" s="30" t="s">
        <v>0</v>
      </c>
      <c r="G21" s="32" t="s">
        <v>32</v>
      </c>
      <c r="H21" s="109">
        <v>241.2</v>
      </c>
      <c r="I21" s="109"/>
      <c r="J21" s="109"/>
      <c r="K21" s="109"/>
      <c r="L21" s="33">
        <f t="shared" si="8"/>
        <v>241.2</v>
      </c>
      <c r="M21" s="40"/>
      <c r="N21" s="105">
        <v>60000</v>
      </c>
      <c r="O21" s="105">
        <f t="shared" si="3"/>
        <v>14472000</v>
      </c>
      <c r="P21" s="33" t="s">
        <v>30</v>
      </c>
      <c r="Q21" s="33">
        <f t="shared" si="4"/>
        <v>241.2</v>
      </c>
      <c r="R21" s="33" t="s">
        <v>38</v>
      </c>
      <c r="S21" s="105">
        <v>9500</v>
      </c>
      <c r="T21" s="105">
        <f t="shared" si="5"/>
        <v>2291400</v>
      </c>
      <c r="U21" s="105">
        <f t="shared" si="9"/>
        <v>2412000</v>
      </c>
      <c r="V21" s="105">
        <f t="shared" si="6"/>
        <v>43416000</v>
      </c>
      <c r="W21" s="105">
        <f t="shared" si="10"/>
        <v>0</v>
      </c>
      <c r="X21" s="34">
        <f t="shared" si="11"/>
        <v>0</v>
      </c>
      <c r="Y21" s="246">
        <f t="shared" si="7"/>
        <v>62591400</v>
      </c>
      <c r="Z21" s="292"/>
      <c r="AA21" s="37"/>
      <c r="AB21" s="302"/>
      <c r="AC21" s="303"/>
      <c r="AD21" s="303"/>
      <c r="AE21" s="303"/>
      <c r="AF21" s="35"/>
      <c r="AG21" s="35"/>
      <c r="AH21" s="35"/>
      <c r="AI21" s="35"/>
      <c r="AJ21" s="35"/>
      <c r="AK21" s="35"/>
      <c r="AL21" s="35"/>
      <c r="AM21" s="35"/>
    </row>
    <row r="22" spans="1:39" s="43" customFormat="1" ht="63.75" customHeight="1">
      <c r="A22" s="37">
        <v>5</v>
      </c>
      <c r="B22" s="71" t="s">
        <v>35</v>
      </c>
      <c r="C22" s="37">
        <v>71</v>
      </c>
      <c r="D22" s="37">
        <v>36</v>
      </c>
      <c r="E22" s="39">
        <v>364.4</v>
      </c>
      <c r="F22" s="30" t="s">
        <v>0</v>
      </c>
      <c r="G22" s="32" t="s">
        <v>32</v>
      </c>
      <c r="H22" s="109">
        <v>317.6</v>
      </c>
      <c r="I22" s="109">
        <f>338.9-H22</f>
        <v>21.299999999999955</v>
      </c>
      <c r="J22" s="109"/>
      <c r="K22" s="109"/>
      <c r="L22" s="33">
        <f t="shared" si="8"/>
        <v>338.9</v>
      </c>
      <c r="M22" s="40">
        <f>L22</f>
        <v>338.9</v>
      </c>
      <c r="N22" s="105">
        <v>60000</v>
      </c>
      <c r="O22" s="105">
        <f t="shared" si="3"/>
        <v>20334000</v>
      </c>
      <c r="P22" s="33" t="s">
        <v>30</v>
      </c>
      <c r="Q22" s="33">
        <f t="shared" si="4"/>
        <v>338.9</v>
      </c>
      <c r="R22" s="33" t="s">
        <v>38</v>
      </c>
      <c r="S22" s="105">
        <v>9500</v>
      </c>
      <c r="T22" s="105">
        <f t="shared" si="5"/>
        <v>3219550</v>
      </c>
      <c r="U22" s="105">
        <f t="shared" si="9"/>
        <v>3389000</v>
      </c>
      <c r="V22" s="105">
        <f t="shared" si="6"/>
        <v>61002000</v>
      </c>
      <c r="W22" s="105">
        <f t="shared" si="10"/>
        <v>1</v>
      </c>
      <c r="X22" s="34">
        <f t="shared" si="11"/>
        <v>3500000</v>
      </c>
      <c r="Y22" s="246">
        <f t="shared" si="7"/>
        <v>91444550</v>
      </c>
      <c r="Z22" s="111">
        <f>Y22</f>
        <v>91444550</v>
      </c>
      <c r="AA22" s="37" t="s">
        <v>71</v>
      </c>
      <c r="AB22" s="302"/>
      <c r="AC22" s="303"/>
      <c r="AD22" s="303"/>
      <c r="AE22" s="303"/>
      <c r="AF22" s="35"/>
      <c r="AG22" s="35"/>
      <c r="AH22" s="35"/>
      <c r="AI22" s="35"/>
      <c r="AJ22" s="35"/>
      <c r="AK22" s="35"/>
      <c r="AL22" s="35"/>
      <c r="AM22" s="35"/>
    </row>
    <row r="23" spans="1:39" s="43" customFormat="1" ht="63.75" customHeight="1">
      <c r="A23" s="36">
        <v>6</v>
      </c>
      <c r="B23" s="71" t="s">
        <v>158</v>
      </c>
      <c r="C23" s="37">
        <v>71</v>
      </c>
      <c r="D23" s="37">
        <v>90</v>
      </c>
      <c r="E23" s="37">
        <v>397.8</v>
      </c>
      <c r="F23" s="30" t="s">
        <v>0</v>
      </c>
      <c r="G23" s="32" t="s">
        <v>32</v>
      </c>
      <c r="H23" s="109">
        <f>E23</f>
        <v>397.8</v>
      </c>
      <c r="I23" s="109"/>
      <c r="J23" s="109"/>
      <c r="K23" s="32"/>
      <c r="L23" s="33">
        <f t="shared" si="8"/>
        <v>397.8</v>
      </c>
      <c r="M23" s="40">
        <f>L23</f>
        <v>397.8</v>
      </c>
      <c r="N23" s="105">
        <v>60000</v>
      </c>
      <c r="O23" s="105">
        <f t="shared" si="3"/>
        <v>23868000</v>
      </c>
      <c r="P23" s="33" t="s">
        <v>30</v>
      </c>
      <c r="Q23" s="33">
        <f t="shared" si="4"/>
        <v>397.8</v>
      </c>
      <c r="R23" s="33" t="s">
        <v>38</v>
      </c>
      <c r="S23" s="105">
        <v>9500</v>
      </c>
      <c r="T23" s="105">
        <f t="shared" si="5"/>
        <v>3779100</v>
      </c>
      <c r="U23" s="105">
        <f t="shared" si="9"/>
        <v>3978000</v>
      </c>
      <c r="V23" s="105">
        <f t="shared" si="6"/>
        <v>71604000</v>
      </c>
      <c r="W23" s="105">
        <f t="shared" si="10"/>
        <v>1</v>
      </c>
      <c r="X23" s="34">
        <f t="shared" si="11"/>
        <v>3500000</v>
      </c>
      <c r="Y23" s="246">
        <f t="shared" si="7"/>
        <v>106729100</v>
      </c>
      <c r="Z23" s="111">
        <f>Y23</f>
        <v>106729100</v>
      </c>
      <c r="AA23" s="37"/>
      <c r="AB23" s="302"/>
      <c r="AC23" s="303"/>
      <c r="AD23" s="303"/>
      <c r="AE23" s="303"/>
      <c r="AF23" s="35"/>
      <c r="AG23" s="35"/>
      <c r="AH23" s="35"/>
      <c r="AI23" s="35"/>
      <c r="AJ23" s="35"/>
      <c r="AK23" s="35"/>
      <c r="AL23" s="35"/>
      <c r="AM23" s="35"/>
    </row>
    <row r="24" spans="1:39" s="42" customFormat="1" ht="63.75" customHeight="1">
      <c r="A24" s="37">
        <v>7</v>
      </c>
      <c r="B24" s="75" t="s">
        <v>198</v>
      </c>
      <c r="C24" s="37">
        <v>71</v>
      </c>
      <c r="D24" s="37">
        <v>84</v>
      </c>
      <c r="E24" s="37">
        <v>318.8</v>
      </c>
      <c r="F24" s="30" t="s">
        <v>0</v>
      </c>
      <c r="G24" s="32" t="s">
        <v>32</v>
      </c>
      <c r="H24" s="109">
        <v>271.2</v>
      </c>
      <c r="I24" s="109"/>
      <c r="J24" s="109"/>
      <c r="K24" s="32"/>
      <c r="L24" s="33">
        <f t="shared" si="8"/>
        <v>271.2</v>
      </c>
      <c r="M24" s="40">
        <f>L24</f>
        <v>271.2</v>
      </c>
      <c r="N24" s="105">
        <v>60000</v>
      </c>
      <c r="O24" s="105">
        <f t="shared" si="3"/>
        <v>16272000</v>
      </c>
      <c r="P24" s="33" t="s">
        <v>30</v>
      </c>
      <c r="Q24" s="33">
        <f t="shared" si="4"/>
        <v>271.2</v>
      </c>
      <c r="R24" s="33" t="s">
        <v>38</v>
      </c>
      <c r="S24" s="105">
        <v>9500</v>
      </c>
      <c r="T24" s="105">
        <f t="shared" si="5"/>
        <v>2576400</v>
      </c>
      <c r="U24" s="105">
        <f t="shared" si="9"/>
        <v>2712000</v>
      </c>
      <c r="V24" s="105">
        <f t="shared" si="6"/>
        <v>48816000</v>
      </c>
      <c r="W24" s="105">
        <f t="shared" si="10"/>
        <v>1</v>
      </c>
      <c r="X24" s="34">
        <f t="shared" si="11"/>
        <v>3500000</v>
      </c>
      <c r="Y24" s="246">
        <f t="shared" si="7"/>
        <v>73876400</v>
      </c>
      <c r="Z24" s="111">
        <f>Y24</f>
        <v>73876400</v>
      </c>
      <c r="AA24" s="37"/>
      <c r="AB24" s="302"/>
      <c r="AC24" s="302" t="s">
        <v>102</v>
      </c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</row>
    <row r="25" spans="1:39" s="43" customFormat="1" ht="63.75" customHeight="1">
      <c r="A25" s="36">
        <v>8</v>
      </c>
      <c r="B25" s="47" t="s">
        <v>159</v>
      </c>
      <c r="C25" s="37">
        <v>71</v>
      </c>
      <c r="D25" s="37">
        <v>84</v>
      </c>
      <c r="E25" s="37">
        <v>318.8</v>
      </c>
      <c r="F25" s="30" t="s">
        <v>0</v>
      </c>
      <c r="G25" s="32" t="s">
        <v>32</v>
      </c>
      <c r="H25" s="109">
        <v>46.90000000000002</v>
      </c>
      <c r="I25" s="109"/>
      <c r="J25" s="109">
        <v>0.7</v>
      </c>
      <c r="K25" s="32"/>
      <c r="L25" s="33">
        <f t="shared" si="8"/>
        <v>47.60000000000002</v>
      </c>
      <c r="M25" s="288">
        <f>SUM(L25:L28)</f>
        <v>525</v>
      </c>
      <c r="N25" s="105">
        <v>60000</v>
      </c>
      <c r="O25" s="105">
        <f t="shared" si="3"/>
        <v>2856000.0000000014</v>
      </c>
      <c r="P25" s="33" t="s">
        <v>30</v>
      </c>
      <c r="Q25" s="33">
        <f t="shared" si="4"/>
        <v>47.60000000000002</v>
      </c>
      <c r="R25" s="33" t="s">
        <v>38</v>
      </c>
      <c r="S25" s="105">
        <v>9500</v>
      </c>
      <c r="T25" s="105">
        <f t="shared" si="5"/>
        <v>452200.00000000023</v>
      </c>
      <c r="U25" s="105">
        <f t="shared" si="9"/>
        <v>476000.00000000023</v>
      </c>
      <c r="V25" s="105">
        <f t="shared" si="6"/>
        <v>8568000.000000004</v>
      </c>
      <c r="W25" s="105">
        <f t="shared" si="10"/>
        <v>2</v>
      </c>
      <c r="X25" s="34">
        <f t="shared" si="11"/>
        <v>7000000</v>
      </c>
      <c r="Y25" s="246">
        <f t="shared" si="7"/>
        <v>19352200.000000007</v>
      </c>
      <c r="Z25" s="289">
        <f>SUM(Y25:Y28)</f>
        <v>143237500</v>
      </c>
      <c r="AA25" s="37" t="s">
        <v>71</v>
      </c>
      <c r="AB25" s="302"/>
      <c r="AC25" s="303"/>
      <c r="AD25" s="303"/>
      <c r="AE25" s="303"/>
      <c r="AF25" s="35"/>
      <c r="AG25" s="35"/>
      <c r="AH25" s="35"/>
      <c r="AI25" s="35"/>
      <c r="AJ25" s="35"/>
      <c r="AK25" s="35"/>
      <c r="AL25" s="35"/>
      <c r="AM25" s="35"/>
    </row>
    <row r="26" spans="1:39" s="42" customFormat="1" ht="63.75" customHeight="1">
      <c r="A26" s="36">
        <v>8</v>
      </c>
      <c r="B26" s="47" t="s">
        <v>159</v>
      </c>
      <c r="C26" s="106">
        <v>71</v>
      </c>
      <c r="D26" s="106">
        <v>73</v>
      </c>
      <c r="E26" s="107">
        <v>325.9</v>
      </c>
      <c r="F26" s="30" t="s">
        <v>0</v>
      </c>
      <c r="G26" s="32" t="s">
        <v>32</v>
      </c>
      <c r="H26" s="109">
        <v>27.6</v>
      </c>
      <c r="I26" s="109"/>
      <c r="J26" s="109"/>
      <c r="K26" s="32"/>
      <c r="L26" s="33">
        <f t="shared" si="8"/>
        <v>27.6</v>
      </c>
      <c r="M26" s="293"/>
      <c r="N26" s="105">
        <v>60000</v>
      </c>
      <c r="O26" s="105">
        <f t="shared" si="3"/>
        <v>1656000</v>
      </c>
      <c r="P26" s="33" t="s">
        <v>30</v>
      </c>
      <c r="Q26" s="33">
        <f t="shared" si="4"/>
        <v>27.6</v>
      </c>
      <c r="R26" s="33" t="s">
        <v>38</v>
      </c>
      <c r="S26" s="105">
        <v>9500</v>
      </c>
      <c r="T26" s="105">
        <f t="shared" si="5"/>
        <v>262200</v>
      </c>
      <c r="U26" s="105">
        <f t="shared" si="9"/>
        <v>276000</v>
      </c>
      <c r="V26" s="105">
        <f t="shared" si="6"/>
        <v>4968000</v>
      </c>
      <c r="W26" s="105">
        <f t="shared" si="10"/>
        <v>0</v>
      </c>
      <c r="X26" s="34">
        <f t="shared" si="11"/>
        <v>0</v>
      </c>
      <c r="Y26" s="246">
        <f t="shared" si="7"/>
        <v>7162200</v>
      </c>
      <c r="Z26" s="291"/>
      <c r="AA26" s="37" t="s">
        <v>71</v>
      </c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</row>
    <row r="27" spans="1:39" s="43" customFormat="1" ht="63.75" customHeight="1">
      <c r="A27" s="36">
        <v>8</v>
      </c>
      <c r="B27" s="47" t="s">
        <v>159</v>
      </c>
      <c r="C27" s="106">
        <v>71</v>
      </c>
      <c r="D27" s="106">
        <v>67</v>
      </c>
      <c r="E27" s="107">
        <v>276.6</v>
      </c>
      <c r="F27" s="30" t="s">
        <v>0</v>
      </c>
      <c r="G27" s="32" t="s">
        <v>32</v>
      </c>
      <c r="H27" s="109">
        <v>276.6</v>
      </c>
      <c r="I27" s="109"/>
      <c r="J27" s="109"/>
      <c r="K27" s="32"/>
      <c r="L27" s="33">
        <f t="shared" si="8"/>
        <v>276.6</v>
      </c>
      <c r="M27" s="293"/>
      <c r="N27" s="105">
        <v>60000</v>
      </c>
      <c r="O27" s="105">
        <f t="shared" si="3"/>
        <v>16596000.000000002</v>
      </c>
      <c r="P27" s="33" t="s">
        <v>30</v>
      </c>
      <c r="Q27" s="33">
        <f t="shared" si="4"/>
        <v>276.6</v>
      </c>
      <c r="R27" s="33" t="s">
        <v>38</v>
      </c>
      <c r="S27" s="105">
        <v>9500</v>
      </c>
      <c r="T27" s="105">
        <f t="shared" si="5"/>
        <v>2627700</v>
      </c>
      <c r="U27" s="105">
        <f t="shared" si="9"/>
        <v>2766000</v>
      </c>
      <c r="V27" s="105">
        <f t="shared" si="6"/>
        <v>49788000.00000001</v>
      </c>
      <c r="W27" s="105">
        <f t="shared" si="10"/>
        <v>0</v>
      </c>
      <c r="X27" s="34">
        <f t="shared" si="11"/>
        <v>0</v>
      </c>
      <c r="Y27" s="246">
        <f t="shared" si="7"/>
        <v>71777700</v>
      </c>
      <c r="Z27" s="291"/>
      <c r="AA27" s="37"/>
      <c r="AB27" s="302"/>
      <c r="AC27" s="303"/>
      <c r="AD27" s="303"/>
      <c r="AE27" s="303"/>
      <c r="AF27" s="35"/>
      <c r="AG27" s="35"/>
      <c r="AH27" s="35"/>
      <c r="AI27" s="35"/>
      <c r="AJ27" s="35"/>
      <c r="AK27" s="35"/>
      <c r="AL27" s="35"/>
      <c r="AM27" s="35"/>
    </row>
    <row r="28" spans="1:39" s="43" customFormat="1" ht="63.75" customHeight="1">
      <c r="A28" s="36">
        <v>8</v>
      </c>
      <c r="B28" s="47" t="s">
        <v>159</v>
      </c>
      <c r="C28" s="106">
        <v>71</v>
      </c>
      <c r="D28" s="106">
        <v>52</v>
      </c>
      <c r="E28" s="107">
        <v>199</v>
      </c>
      <c r="F28" s="30" t="s">
        <v>0</v>
      </c>
      <c r="G28" s="32" t="s">
        <v>32</v>
      </c>
      <c r="H28" s="109">
        <v>173.2</v>
      </c>
      <c r="I28" s="109"/>
      <c r="J28" s="109"/>
      <c r="K28" s="32"/>
      <c r="L28" s="33">
        <f t="shared" si="8"/>
        <v>173.2</v>
      </c>
      <c r="M28" s="294"/>
      <c r="N28" s="105">
        <v>60000</v>
      </c>
      <c r="O28" s="105">
        <f t="shared" si="3"/>
        <v>10392000</v>
      </c>
      <c r="P28" s="33" t="s">
        <v>30</v>
      </c>
      <c r="Q28" s="33">
        <f t="shared" si="4"/>
        <v>173.2</v>
      </c>
      <c r="R28" s="33" t="s">
        <v>38</v>
      </c>
      <c r="S28" s="105">
        <v>9500</v>
      </c>
      <c r="T28" s="105">
        <f t="shared" si="5"/>
        <v>1645400</v>
      </c>
      <c r="U28" s="105">
        <f t="shared" si="9"/>
        <v>1732000</v>
      </c>
      <c r="V28" s="105">
        <f t="shared" si="6"/>
        <v>31176000</v>
      </c>
      <c r="W28" s="105">
        <f t="shared" si="10"/>
        <v>0</v>
      </c>
      <c r="X28" s="34">
        <f t="shared" si="11"/>
        <v>0</v>
      </c>
      <c r="Y28" s="246">
        <f t="shared" si="7"/>
        <v>44945400</v>
      </c>
      <c r="Z28" s="292"/>
      <c r="AA28" s="37" t="s">
        <v>71</v>
      </c>
      <c r="AB28" s="302"/>
      <c r="AC28" s="303"/>
      <c r="AD28" s="303"/>
      <c r="AE28" s="303"/>
      <c r="AF28" s="35"/>
      <c r="AG28" s="35"/>
      <c r="AH28" s="35"/>
      <c r="AI28" s="35"/>
      <c r="AJ28" s="35"/>
      <c r="AK28" s="35"/>
      <c r="AL28" s="35"/>
      <c r="AM28" s="35"/>
    </row>
    <row r="29" spans="1:39" s="43" customFormat="1" ht="63.75" customHeight="1">
      <c r="A29" s="36">
        <v>9</v>
      </c>
      <c r="B29" s="47" t="s">
        <v>160</v>
      </c>
      <c r="C29" s="106">
        <v>82</v>
      </c>
      <c r="D29" s="106">
        <v>33</v>
      </c>
      <c r="E29" s="107">
        <v>181.8</v>
      </c>
      <c r="F29" s="30" t="s">
        <v>0</v>
      </c>
      <c r="G29" s="32" t="s">
        <v>32</v>
      </c>
      <c r="H29" s="109">
        <f>E29</f>
        <v>181.8</v>
      </c>
      <c r="I29" s="109"/>
      <c r="J29" s="109"/>
      <c r="K29" s="32"/>
      <c r="L29" s="33">
        <f t="shared" si="8"/>
        <v>181.8</v>
      </c>
      <c r="M29" s="288">
        <f>L29+L30</f>
        <v>197.20000000000002</v>
      </c>
      <c r="N29" s="105">
        <v>60000</v>
      </c>
      <c r="O29" s="105">
        <f t="shared" si="3"/>
        <v>10908000</v>
      </c>
      <c r="P29" s="33" t="s">
        <v>30</v>
      </c>
      <c r="Q29" s="33">
        <f t="shared" si="4"/>
        <v>181.8</v>
      </c>
      <c r="R29" s="33" t="s">
        <v>38</v>
      </c>
      <c r="S29" s="105">
        <v>9500</v>
      </c>
      <c r="T29" s="105">
        <f t="shared" si="5"/>
        <v>1727100</v>
      </c>
      <c r="U29" s="105">
        <f t="shared" si="9"/>
        <v>1818000</v>
      </c>
      <c r="V29" s="105">
        <f t="shared" si="6"/>
        <v>32724000</v>
      </c>
      <c r="W29" s="105">
        <f t="shared" si="10"/>
        <v>0</v>
      </c>
      <c r="X29" s="34">
        <f t="shared" si="11"/>
        <v>0</v>
      </c>
      <c r="Y29" s="246">
        <f t="shared" si="7"/>
        <v>47177100</v>
      </c>
      <c r="Z29" s="111">
        <f>Y29+Y30</f>
        <v>51173400</v>
      </c>
      <c r="AA29" s="37"/>
      <c r="AB29" s="302"/>
      <c r="AC29" s="303"/>
      <c r="AD29" s="303"/>
      <c r="AE29" s="303"/>
      <c r="AF29" s="35"/>
      <c r="AG29" s="35"/>
      <c r="AH29" s="35"/>
      <c r="AI29" s="35"/>
      <c r="AJ29" s="35"/>
      <c r="AK29" s="35"/>
      <c r="AL29" s="35"/>
      <c r="AM29" s="35"/>
    </row>
    <row r="30" spans="1:39" s="43" customFormat="1" ht="63.75" customHeight="1">
      <c r="A30" s="36">
        <v>9</v>
      </c>
      <c r="B30" s="47" t="s">
        <v>160</v>
      </c>
      <c r="C30" s="39">
        <v>71</v>
      </c>
      <c r="D30" s="36">
        <v>125</v>
      </c>
      <c r="E30" s="36">
        <v>58.1</v>
      </c>
      <c r="F30" s="30" t="s">
        <v>101</v>
      </c>
      <c r="G30" s="32" t="s">
        <v>32</v>
      </c>
      <c r="H30" s="109"/>
      <c r="I30" s="109">
        <v>15.4</v>
      </c>
      <c r="J30" s="109"/>
      <c r="K30" s="32"/>
      <c r="L30" s="33">
        <f t="shared" si="8"/>
        <v>15.4</v>
      </c>
      <c r="M30" s="40"/>
      <c r="N30" s="105">
        <v>60000</v>
      </c>
      <c r="O30" s="105">
        <f>L30*N30</f>
        <v>924000</v>
      </c>
      <c r="P30" s="33" t="s">
        <v>30</v>
      </c>
      <c r="Q30" s="33">
        <f>L30</f>
        <v>15.4</v>
      </c>
      <c r="R30" s="33" t="s">
        <v>38</v>
      </c>
      <c r="S30" s="105">
        <v>9500</v>
      </c>
      <c r="T30" s="105">
        <f>Q30*S30</f>
        <v>146300</v>
      </c>
      <c r="U30" s="105">
        <f>L30*10000</f>
        <v>154000</v>
      </c>
      <c r="V30" s="105">
        <f>L30*N30*3</f>
        <v>2772000</v>
      </c>
      <c r="W30" s="105">
        <f t="shared" si="10"/>
        <v>0</v>
      </c>
      <c r="X30" s="34">
        <f t="shared" si="11"/>
        <v>0</v>
      </c>
      <c r="Y30" s="246">
        <f>O30+T30+U30+V30+X30</f>
        <v>3996300</v>
      </c>
      <c r="Z30" s="292"/>
      <c r="AA30" s="37"/>
      <c r="AB30" s="302"/>
      <c r="AC30" s="303"/>
      <c r="AD30" s="303"/>
      <c r="AE30" s="303"/>
      <c r="AF30" s="35"/>
      <c r="AG30" s="35"/>
      <c r="AH30" s="35"/>
      <c r="AI30" s="35"/>
      <c r="AJ30" s="35"/>
      <c r="AK30" s="35"/>
      <c r="AL30" s="35"/>
      <c r="AM30" s="35"/>
    </row>
    <row r="31" spans="1:39" s="43" customFormat="1" ht="63.75" customHeight="1">
      <c r="A31" s="36">
        <v>10</v>
      </c>
      <c r="B31" s="47" t="s">
        <v>189</v>
      </c>
      <c r="C31" s="106">
        <v>71</v>
      </c>
      <c r="D31" s="106">
        <v>73</v>
      </c>
      <c r="E31" s="107">
        <v>325.9</v>
      </c>
      <c r="F31" s="30" t="s">
        <v>0</v>
      </c>
      <c r="G31" s="32" t="s">
        <v>32</v>
      </c>
      <c r="H31" s="109">
        <v>289.9</v>
      </c>
      <c r="I31" s="109"/>
      <c r="J31" s="109"/>
      <c r="K31" s="32"/>
      <c r="L31" s="33">
        <f t="shared" si="8"/>
        <v>289.9</v>
      </c>
      <c r="M31" s="288">
        <f>SUM(L31:L32)</f>
        <v>449.29999999999995</v>
      </c>
      <c r="N31" s="105">
        <v>60000</v>
      </c>
      <c r="O31" s="105">
        <f t="shared" si="3"/>
        <v>17394000</v>
      </c>
      <c r="P31" s="33" t="s">
        <v>30</v>
      </c>
      <c r="Q31" s="33">
        <f t="shared" si="4"/>
        <v>289.9</v>
      </c>
      <c r="R31" s="33" t="s">
        <v>38</v>
      </c>
      <c r="S31" s="105">
        <v>9500</v>
      </c>
      <c r="T31" s="105">
        <f t="shared" si="5"/>
        <v>2754050</v>
      </c>
      <c r="U31" s="105">
        <f t="shared" si="9"/>
        <v>2899000</v>
      </c>
      <c r="V31" s="105">
        <f t="shared" si="6"/>
        <v>52182000</v>
      </c>
      <c r="W31" s="105">
        <f t="shared" si="10"/>
        <v>2</v>
      </c>
      <c r="X31" s="34">
        <f t="shared" si="11"/>
        <v>7000000</v>
      </c>
      <c r="Y31" s="246">
        <f t="shared" si="7"/>
        <v>82229050</v>
      </c>
      <c r="Z31" s="111">
        <f>Y31</f>
        <v>82229050</v>
      </c>
      <c r="AA31" s="37"/>
      <c r="AB31" s="302"/>
      <c r="AC31" s="303"/>
      <c r="AD31" s="303"/>
      <c r="AE31" s="303"/>
      <c r="AF31" s="35"/>
      <c r="AG31" s="35"/>
      <c r="AH31" s="35"/>
      <c r="AI31" s="35"/>
      <c r="AJ31" s="35"/>
      <c r="AK31" s="35"/>
      <c r="AL31" s="35"/>
      <c r="AM31" s="35"/>
    </row>
    <row r="32" spans="1:39" s="43" customFormat="1" ht="63.75" customHeight="1">
      <c r="A32" s="36">
        <v>10</v>
      </c>
      <c r="B32" s="47" t="s">
        <v>189</v>
      </c>
      <c r="C32" s="37">
        <v>81</v>
      </c>
      <c r="D32" s="37">
        <v>1</v>
      </c>
      <c r="E32" s="37">
        <v>159.4</v>
      </c>
      <c r="F32" s="30" t="s">
        <v>0</v>
      </c>
      <c r="G32" s="32" t="s">
        <v>32</v>
      </c>
      <c r="H32" s="109">
        <f>E32</f>
        <v>159.4</v>
      </c>
      <c r="I32" s="109"/>
      <c r="J32" s="109"/>
      <c r="K32" s="32"/>
      <c r="L32" s="33">
        <f t="shared" si="8"/>
        <v>159.4</v>
      </c>
      <c r="M32" s="40"/>
      <c r="N32" s="105">
        <v>60000</v>
      </c>
      <c r="O32" s="105">
        <f t="shared" si="3"/>
        <v>9564000</v>
      </c>
      <c r="P32" s="33" t="s">
        <v>30</v>
      </c>
      <c r="Q32" s="33">
        <f t="shared" si="4"/>
        <v>159.4</v>
      </c>
      <c r="R32" s="33" t="s">
        <v>38</v>
      </c>
      <c r="S32" s="105">
        <v>9500</v>
      </c>
      <c r="T32" s="105">
        <f t="shared" si="5"/>
        <v>1514300</v>
      </c>
      <c r="U32" s="105">
        <f t="shared" si="9"/>
        <v>1594000</v>
      </c>
      <c r="V32" s="105">
        <f t="shared" si="6"/>
        <v>28692000</v>
      </c>
      <c r="W32" s="105">
        <f t="shared" si="10"/>
        <v>0</v>
      </c>
      <c r="X32" s="34">
        <f t="shared" si="11"/>
        <v>0</v>
      </c>
      <c r="Y32" s="246">
        <f t="shared" si="7"/>
        <v>41364300</v>
      </c>
      <c r="Z32" s="111">
        <f>Y32</f>
        <v>41364300</v>
      </c>
      <c r="AA32" s="37"/>
      <c r="AB32" s="302"/>
      <c r="AC32" s="303"/>
      <c r="AD32" s="303"/>
      <c r="AE32" s="303"/>
      <c r="AF32" s="35"/>
      <c r="AG32" s="35"/>
      <c r="AH32" s="35"/>
      <c r="AI32" s="35"/>
      <c r="AJ32" s="35"/>
      <c r="AK32" s="35"/>
      <c r="AL32" s="35"/>
      <c r="AM32" s="35"/>
    </row>
    <row r="33" spans="1:39" s="43" customFormat="1" ht="63.75" customHeight="1">
      <c r="A33" s="36">
        <v>11</v>
      </c>
      <c r="B33" s="102" t="s">
        <v>69</v>
      </c>
      <c r="C33" s="106">
        <v>71</v>
      </c>
      <c r="D33" s="106">
        <v>53</v>
      </c>
      <c r="E33" s="107">
        <v>324.5</v>
      </c>
      <c r="F33" s="110" t="s">
        <v>0</v>
      </c>
      <c r="G33" s="32" t="s">
        <v>32</v>
      </c>
      <c r="H33" s="109">
        <v>324.5</v>
      </c>
      <c r="I33" s="109"/>
      <c r="J33" s="109"/>
      <c r="K33" s="32"/>
      <c r="L33" s="33">
        <f t="shared" si="8"/>
        <v>324.5</v>
      </c>
      <c r="M33" s="288">
        <f>SUM(L33:L34)</f>
        <v>350</v>
      </c>
      <c r="N33" s="105">
        <v>60000</v>
      </c>
      <c r="O33" s="105">
        <f t="shared" si="3"/>
        <v>19470000</v>
      </c>
      <c r="P33" s="33" t="s">
        <v>30</v>
      </c>
      <c r="Q33" s="33">
        <f t="shared" si="4"/>
        <v>324.5</v>
      </c>
      <c r="R33" s="33" t="s">
        <v>70</v>
      </c>
      <c r="S33" s="105">
        <v>9500</v>
      </c>
      <c r="T33" s="105">
        <f t="shared" si="5"/>
        <v>3082750</v>
      </c>
      <c r="U33" s="105">
        <f t="shared" si="9"/>
        <v>3245000</v>
      </c>
      <c r="V33" s="105">
        <f t="shared" si="6"/>
        <v>58410000</v>
      </c>
      <c r="W33" s="105">
        <f t="shared" si="10"/>
        <v>1</v>
      </c>
      <c r="X33" s="34">
        <f t="shared" si="11"/>
        <v>3500000</v>
      </c>
      <c r="Y33" s="246">
        <f t="shared" si="7"/>
        <v>87707750</v>
      </c>
      <c r="Z33" s="289">
        <f>SUM(Y33:Y34)</f>
        <v>94325000</v>
      </c>
      <c r="AA33" s="37"/>
      <c r="AB33" s="302"/>
      <c r="AC33" s="303"/>
      <c r="AD33" s="303"/>
      <c r="AE33" s="303"/>
      <c r="AF33" s="35"/>
      <c r="AG33" s="35"/>
      <c r="AH33" s="35"/>
      <c r="AI33" s="35"/>
      <c r="AJ33" s="35"/>
      <c r="AK33" s="35"/>
      <c r="AL33" s="35"/>
      <c r="AM33" s="35"/>
    </row>
    <row r="34" spans="1:39" s="43" customFormat="1" ht="63.75" customHeight="1">
      <c r="A34" s="36">
        <v>11</v>
      </c>
      <c r="B34" s="102" t="s">
        <v>69</v>
      </c>
      <c r="C34" s="37">
        <v>71</v>
      </c>
      <c r="D34" s="37">
        <v>36</v>
      </c>
      <c r="E34" s="39">
        <v>364.4</v>
      </c>
      <c r="F34" s="30" t="s">
        <v>0</v>
      </c>
      <c r="G34" s="32" t="s">
        <v>32</v>
      </c>
      <c r="H34" s="109">
        <f>349.9-H33</f>
        <v>25.399999999999977</v>
      </c>
      <c r="I34" s="32">
        <v>0.1</v>
      </c>
      <c r="J34" s="109"/>
      <c r="K34" s="32"/>
      <c r="L34" s="33">
        <f t="shared" si="8"/>
        <v>25.49999999999998</v>
      </c>
      <c r="M34" s="40"/>
      <c r="N34" s="105">
        <v>60000</v>
      </c>
      <c r="O34" s="105">
        <f t="shared" si="3"/>
        <v>1529999.9999999988</v>
      </c>
      <c r="P34" s="33" t="s">
        <v>30</v>
      </c>
      <c r="Q34" s="33">
        <f t="shared" si="4"/>
        <v>25.49999999999998</v>
      </c>
      <c r="R34" s="33" t="s">
        <v>79</v>
      </c>
      <c r="S34" s="105">
        <v>9500</v>
      </c>
      <c r="T34" s="105">
        <f t="shared" si="5"/>
        <v>242249.9999999998</v>
      </c>
      <c r="U34" s="105">
        <f t="shared" si="9"/>
        <v>254999.9999999998</v>
      </c>
      <c r="V34" s="105">
        <f t="shared" si="6"/>
        <v>4589999.999999996</v>
      </c>
      <c r="W34" s="105">
        <f t="shared" si="10"/>
        <v>0</v>
      </c>
      <c r="X34" s="34">
        <f t="shared" si="11"/>
        <v>0</v>
      </c>
      <c r="Y34" s="246">
        <f t="shared" si="7"/>
        <v>6617249.999999994</v>
      </c>
      <c r="Z34" s="292"/>
      <c r="AA34" s="37" t="s">
        <v>71</v>
      </c>
      <c r="AB34" s="302"/>
      <c r="AC34" s="303"/>
      <c r="AD34" s="303"/>
      <c r="AE34" s="303"/>
      <c r="AF34" s="35"/>
      <c r="AG34" s="35"/>
      <c r="AH34" s="35"/>
      <c r="AI34" s="35"/>
      <c r="AJ34" s="35"/>
      <c r="AK34" s="35"/>
      <c r="AL34" s="35"/>
      <c r="AM34" s="35"/>
    </row>
    <row r="35" spans="1:39" s="43" customFormat="1" ht="63.75" customHeight="1">
      <c r="A35" s="45">
        <v>12</v>
      </c>
      <c r="B35" s="102" t="s">
        <v>162</v>
      </c>
      <c r="C35" s="112">
        <v>71</v>
      </c>
      <c r="D35" s="112">
        <v>66</v>
      </c>
      <c r="E35" s="113">
        <v>219.7</v>
      </c>
      <c r="F35" s="110" t="s">
        <v>0</v>
      </c>
      <c r="G35" s="32" t="s">
        <v>32</v>
      </c>
      <c r="H35" s="109">
        <f>E35</f>
        <v>219.7</v>
      </c>
      <c r="I35" s="109"/>
      <c r="J35" s="109"/>
      <c r="K35" s="32"/>
      <c r="L35" s="33">
        <f t="shared" si="8"/>
        <v>219.7</v>
      </c>
      <c r="M35" s="288">
        <f>SUM(L35:L36)</f>
        <v>242.39999999999998</v>
      </c>
      <c r="N35" s="105">
        <v>60000</v>
      </c>
      <c r="O35" s="105">
        <f t="shared" si="3"/>
        <v>13182000</v>
      </c>
      <c r="P35" s="33" t="s">
        <v>30</v>
      </c>
      <c r="Q35" s="33">
        <f t="shared" si="4"/>
        <v>219.7</v>
      </c>
      <c r="R35" s="33" t="s">
        <v>79</v>
      </c>
      <c r="S35" s="105">
        <v>9500</v>
      </c>
      <c r="T35" s="105">
        <f t="shared" si="5"/>
        <v>2087150</v>
      </c>
      <c r="U35" s="105">
        <f t="shared" si="9"/>
        <v>2197000</v>
      </c>
      <c r="V35" s="105">
        <f t="shared" si="6"/>
        <v>39546000</v>
      </c>
      <c r="W35" s="105">
        <f t="shared" si="10"/>
        <v>1</v>
      </c>
      <c r="X35" s="34">
        <f t="shared" si="11"/>
        <v>3500000</v>
      </c>
      <c r="Y35" s="246">
        <f t="shared" si="7"/>
        <v>60512150</v>
      </c>
      <c r="Z35" s="289">
        <f>SUM(Y35:Y36)</f>
        <v>66402800</v>
      </c>
      <c r="AA35" s="37"/>
      <c r="AB35" s="302"/>
      <c r="AC35" s="303"/>
      <c r="AD35" s="303"/>
      <c r="AE35" s="303"/>
      <c r="AF35" s="35"/>
      <c r="AG35" s="35"/>
      <c r="AH35" s="35"/>
      <c r="AI35" s="35"/>
      <c r="AJ35" s="35"/>
      <c r="AK35" s="35"/>
      <c r="AL35" s="35"/>
      <c r="AM35" s="35"/>
    </row>
    <row r="36" spans="1:39" s="43" customFormat="1" ht="63.75" customHeight="1">
      <c r="A36" s="45">
        <v>12</v>
      </c>
      <c r="B36" s="102" t="s">
        <v>162</v>
      </c>
      <c r="C36" s="39">
        <v>71</v>
      </c>
      <c r="D36" s="36">
        <v>65</v>
      </c>
      <c r="E36" s="36">
        <v>278.6</v>
      </c>
      <c r="F36" s="110" t="s">
        <v>0</v>
      </c>
      <c r="G36" s="32" t="s">
        <v>32</v>
      </c>
      <c r="H36" s="109">
        <v>22.7</v>
      </c>
      <c r="I36" s="92"/>
      <c r="J36" s="92"/>
      <c r="K36" s="32"/>
      <c r="L36" s="33">
        <f t="shared" si="8"/>
        <v>22.7</v>
      </c>
      <c r="M36" s="290"/>
      <c r="N36" s="105">
        <v>60000</v>
      </c>
      <c r="O36" s="105">
        <f>L36*N36</f>
        <v>1362000</v>
      </c>
      <c r="P36" s="33" t="s">
        <v>30</v>
      </c>
      <c r="Q36" s="33">
        <f>L36</f>
        <v>22.7</v>
      </c>
      <c r="R36" s="33" t="s">
        <v>79</v>
      </c>
      <c r="S36" s="105">
        <v>9500</v>
      </c>
      <c r="T36" s="105">
        <f>Q36*S36</f>
        <v>215650</v>
      </c>
      <c r="U36" s="105">
        <f>L36*10000</f>
        <v>227000</v>
      </c>
      <c r="V36" s="105">
        <f>L36*N36*3</f>
        <v>4086000</v>
      </c>
      <c r="W36" s="105">
        <f t="shared" si="10"/>
        <v>0</v>
      </c>
      <c r="X36" s="34">
        <f t="shared" si="11"/>
        <v>0</v>
      </c>
      <c r="Y36" s="246">
        <f t="shared" si="7"/>
        <v>5890650</v>
      </c>
      <c r="Z36" s="291"/>
      <c r="AA36" s="37" t="s">
        <v>71</v>
      </c>
      <c r="AB36" s="302"/>
      <c r="AC36" s="303"/>
      <c r="AD36" s="303"/>
      <c r="AE36" s="303"/>
      <c r="AF36" s="35"/>
      <c r="AG36" s="35"/>
      <c r="AH36" s="35"/>
      <c r="AI36" s="35"/>
      <c r="AJ36" s="35"/>
      <c r="AK36" s="35"/>
      <c r="AL36" s="35"/>
      <c r="AM36" s="35"/>
    </row>
    <row r="37" spans="1:39" s="43" customFormat="1" ht="63.75" customHeight="1">
      <c r="A37" s="45">
        <v>13</v>
      </c>
      <c r="B37" s="102" t="s">
        <v>82</v>
      </c>
      <c r="C37" s="295">
        <v>71</v>
      </c>
      <c r="D37" s="296">
        <v>74</v>
      </c>
      <c r="E37" s="297">
        <v>301.3</v>
      </c>
      <c r="F37" s="110" t="s">
        <v>0</v>
      </c>
      <c r="G37" s="32" t="s">
        <v>32</v>
      </c>
      <c r="H37" s="109">
        <v>301.2</v>
      </c>
      <c r="I37" s="115"/>
      <c r="J37" s="115">
        <v>0.1</v>
      </c>
      <c r="K37" s="92"/>
      <c r="L37" s="33">
        <f t="shared" si="8"/>
        <v>301.3</v>
      </c>
      <c r="M37" s="288">
        <f>SUM(L37:L38)</f>
        <v>362</v>
      </c>
      <c r="N37" s="105">
        <v>60000</v>
      </c>
      <c r="O37" s="105">
        <f t="shared" si="3"/>
        <v>18078000</v>
      </c>
      <c r="P37" s="33" t="s">
        <v>30</v>
      </c>
      <c r="Q37" s="33">
        <f t="shared" si="4"/>
        <v>301.3</v>
      </c>
      <c r="R37" s="33" t="s">
        <v>83</v>
      </c>
      <c r="S37" s="105">
        <v>9500</v>
      </c>
      <c r="T37" s="105">
        <f t="shared" si="5"/>
        <v>2862350</v>
      </c>
      <c r="U37" s="105">
        <f t="shared" si="9"/>
        <v>3013000</v>
      </c>
      <c r="V37" s="105">
        <f t="shared" si="6"/>
        <v>54234000</v>
      </c>
      <c r="W37" s="105">
        <f t="shared" si="10"/>
        <v>1</v>
      </c>
      <c r="X37" s="34">
        <f t="shared" si="11"/>
        <v>3500000</v>
      </c>
      <c r="Y37" s="246">
        <f t="shared" si="7"/>
        <v>81687350</v>
      </c>
      <c r="Z37" s="289">
        <f>SUM(Y37:Y38)</f>
        <v>97439000</v>
      </c>
      <c r="AA37" s="37"/>
      <c r="AB37" s="302"/>
      <c r="AC37" s="303"/>
      <c r="AD37" s="303"/>
      <c r="AE37" s="303"/>
      <c r="AF37" s="35"/>
      <c r="AG37" s="35"/>
      <c r="AH37" s="35"/>
      <c r="AI37" s="35"/>
      <c r="AJ37" s="35"/>
      <c r="AK37" s="35"/>
      <c r="AL37" s="35"/>
      <c r="AM37" s="35"/>
    </row>
    <row r="38" spans="1:39" s="43" customFormat="1" ht="63.75" customHeight="1">
      <c r="A38" s="45">
        <v>13</v>
      </c>
      <c r="B38" s="102" t="s">
        <v>82</v>
      </c>
      <c r="C38" s="39">
        <v>71</v>
      </c>
      <c r="D38" s="36">
        <v>57</v>
      </c>
      <c r="E38" s="36">
        <v>313.9</v>
      </c>
      <c r="F38" s="30" t="s">
        <v>0</v>
      </c>
      <c r="G38" s="32" t="s">
        <v>32</v>
      </c>
      <c r="H38" s="109">
        <f>60.7</f>
        <v>60.7</v>
      </c>
      <c r="I38" s="109"/>
      <c r="J38" s="109"/>
      <c r="K38" s="32"/>
      <c r="L38" s="33">
        <f t="shared" si="8"/>
        <v>60.7</v>
      </c>
      <c r="M38" s="40"/>
      <c r="N38" s="105">
        <v>60000</v>
      </c>
      <c r="O38" s="105">
        <f t="shared" si="3"/>
        <v>3642000</v>
      </c>
      <c r="P38" s="33" t="s">
        <v>30</v>
      </c>
      <c r="Q38" s="33">
        <f t="shared" si="4"/>
        <v>60.7</v>
      </c>
      <c r="R38" s="33" t="s">
        <v>83</v>
      </c>
      <c r="S38" s="105">
        <v>9500</v>
      </c>
      <c r="T38" s="105">
        <f t="shared" si="5"/>
        <v>576650</v>
      </c>
      <c r="U38" s="105">
        <f t="shared" si="9"/>
        <v>607000</v>
      </c>
      <c r="V38" s="105">
        <f t="shared" si="6"/>
        <v>10926000</v>
      </c>
      <c r="W38" s="105">
        <f t="shared" si="10"/>
        <v>0</v>
      </c>
      <c r="X38" s="34">
        <f t="shared" si="11"/>
        <v>0</v>
      </c>
      <c r="Y38" s="246">
        <f t="shared" si="7"/>
        <v>15751650</v>
      </c>
      <c r="Z38" s="292"/>
      <c r="AA38" s="37" t="s">
        <v>71</v>
      </c>
      <c r="AB38" s="302"/>
      <c r="AC38" s="303"/>
      <c r="AD38" s="303"/>
      <c r="AE38" s="303"/>
      <c r="AF38" s="35"/>
      <c r="AG38" s="35"/>
      <c r="AH38" s="35"/>
      <c r="AI38" s="35"/>
      <c r="AJ38" s="35"/>
      <c r="AK38" s="35"/>
      <c r="AL38" s="35"/>
      <c r="AM38" s="35"/>
    </row>
    <row r="39" spans="1:39" s="128" customFormat="1" ht="63.75" customHeight="1">
      <c r="A39" s="66" t="s">
        <v>113</v>
      </c>
      <c r="B39" s="56" t="s">
        <v>41</v>
      </c>
      <c r="C39" s="66"/>
      <c r="D39" s="66"/>
      <c r="E39" s="67"/>
      <c r="F39" s="66"/>
      <c r="G39" s="69"/>
      <c r="H39" s="69">
        <f aca="true" t="shared" si="12" ref="H39:M39">SUM(H40:H85)</f>
        <v>4453.5</v>
      </c>
      <c r="I39" s="69">
        <f t="shared" si="12"/>
        <v>2961.3</v>
      </c>
      <c r="J39" s="69">
        <f t="shared" si="12"/>
        <v>15.7</v>
      </c>
      <c r="K39" s="69">
        <f t="shared" si="12"/>
        <v>135.1</v>
      </c>
      <c r="L39" s="69">
        <f t="shared" si="12"/>
        <v>7565.600000000001</v>
      </c>
      <c r="M39" s="69">
        <f t="shared" si="12"/>
        <v>7565.6</v>
      </c>
      <c r="N39" s="69"/>
      <c r="O39" s="116">
        <f>SUM(O40:O85)</f>
        <v>453936000</v>
      </c>
      <c r="P39" s="69"/>
      <c r="Q39" s="69">
        <f>SUM(Q40:Q85)</f>
        <v>7565.600000000001</v>
      </c>
      <c r="R39" s="69"/>
      <c r="S39" s="69"/>
      <c r="T39" s="116">
        <f aca="true" t="shared" si="13" ref="T39:Z39">SUM(T40:T85)</f>
        <v>75527740</v>
      </c>
      <c r="U39" s="116">
        <f t="shared" si="13"/>
        <v>75656000</v>
      </c>
      <c r="V39" s="116">
        <f t="shared" si="13"/>
        <v>1361808000</v>
      </c>
      <c r="W39" s="105">
        <f>SUM(W40:W85)</f>
        <v>35</v>
      </c>
      <c r="X39" s="116">
        <f t="shared" si="13"/>
        <v>122500000</v>
      </c>
      <c r="Y39" s="116">
        <f t="shared" si="13"/>
        <v>2089427740</v>
      </c>
      <c r="Z39" s="116">
        <f t="shared" si="13"/>
        <v>2089427740</v>
      </c>
      <c r="AA39" s="30"/>
      <c r="AB39" s="302"/>
      <c r="AC39" s="303"/>
      <c r="AD39" s="303"/>
      <c r="AE39" s="303"/>
      <c r="AF39" s="35"/>
      <c r="AG39" s="35"/>
      <c r="AH39" s="35"/>
      <c r="AI39" s="35"/>
      <c r="AJ39" s="35"/>
      <c r="AK39" s="35"/>
      <c r="AL39" s="35"/>
      <c r="AM39" s="35"/>
    </row>
    <row r="40" spans="1:31" s="35" customFormat="1" ht="63.75" customHeight="1">
      <c r="A40" s="30">
        <v>1</v>
      </c>
      <c r="B40" s="71" t="s">
        <v>163</v>
      </c>
      <c r="C40" s="37">
        <v>81</v>
      </c>
      <c r="D40" s="37">
        <v>63</v>
      </c>
      <c r="E40" s="37">
        <v>83.9</v>
      </c>
      <c r="F40" s="30" t="s">
        <v>0</v>
      </c>
      <c r="G40" s="32" t="s">
        <v>37</v>
      </c>
      <c r="H40" s="109"/>
      <c r="I40" s="32">
        <f>E40</f>
        <v>83.9</v>
      </c>
      <c r="J40" s="285"/>
      <c r="K40" s="32"/>
      <c r="L40" s="33">
        <f aca="true" t="shared" si="14" ref="L40:L84">H40+I40+J40+K40</f>
        <v>83.9</v>
      </c>
      <c r="M40" s="72">
        <f>L40+L41</f>
        <v>226.1</v>
      </c>
      <c r="N40" s="105">
        <v>60000</v>
      </c>
      <c r="O40" s="105">
        <f aca="true" t="shared" si="15" ref="O40:O69">L40*N40</f>
        <v>5034000</v>
      </c>
      <c r="P40" s="33" t="s">
        <v>30</v>
      </c>
      <c r="Q40" s="33">
        <f aca="true" t="shared" si="16" ref="Q40:Q69">L40</f>
        <v>83.9</v>
      </c>
      <c r="R40" s="33" t="s">
        <v>39</v>
      </c>
      <c r="S40" s="105">
        <v>9500</v>
      </c>
      <c r="T40" s="105">
        <f aca="true" t="shared" si="17" ref="T40:T45">Q40*S40</f>
        <v>797050</v>
      </c>
      <c r="U40" s="105">
        <f aca="true" t="shared" si="18" ref="U40:U69">L40*10000</f>
        <v>839000</v>
      </c>
      <c r="V40" s="105">
        <f aca="true" t="shared" si="19" ref="V40:V69">L40*N40*3</f>
        <v>15102000</v>
      </c>
      <c r="W40" s="105">
        <f>INT(M40/176.4)</f>
        <v>1</v>
      </c>
      <c r="X40" s="34">
        <f>W40*3500000</f>
        <v>3500000</v>
      </c>
      <c r="Y40" s="246">
        <f aca="true" t="shared" si="20" ref="Y40:Y85">O40+T40+U40+V40+X40</f>
        <v>25272050</v>
      </c>
      <c r="Z40" s="289">
        <f>Y40+Y41</f>
        <v>65827490</v>
      </c>
      <c r="AA40" s="30"/>
      <c r="AB40" s="302"/>
      <c r="AC40" s="303"/>
      <c r="AD40" s="303">
        <f>74</f>
        <v>74</v>
      </c>
      <c r="AE40" s="303"/>
    </row>
    <row r="41" spans="1:32" s="35" customFormat="1" ht="63.75" customHeight="1">
      <c r="A41" s="30">
        <v>1</v>
      </c>
      <c r="B41" s="71" t="s">
        <v>163</v>
      </c>
      <c r="C41" s="37">
        <v>82</v>
      </c>
      <c r="D41" s="37">
        <v>27</v>
      </c>
      <c r="E41" s="37">
        <v>142.2</v>
      </c>
      <c r="F41" s="30" t="s">
        <v>0</v>
      </c>
      <c r="G41" s="32" t="s">
        <v>37</v>
      </c>
      <c r="H41" s="109"/>
      <c r="I41" s="32">
        <f>E41</f>
        <v>142.2</v>
      </c>
      <c r="J41" s="285"/>
      <c r="K41" s="32"/>
      <c r="L41" s="33">
        <f t="shared" si="14"/>
        <v>142.2</v>
      </c>
      <c r="M41" s="73"/>
      <c r="N41" s="105">
        <v>60000</v>
      </c>
      <c r="O41" s="105">
        <f t="shared" si="15"/>
        <v>8532000</v>
      </c>
      <c r="P41" s="33" t="s">
        <v>75</v>
      </c>
      <c r="Q41" s="33">
        <f t="shared" si="16"/>
        <v>142.2</v>
      </c>
      <c r="R41" s="33" t="s">
        <v>39</v>
      </c>
      <c r="S41" s="105">
        <v>35200</v>
      </c>
      <c r="T41" s="105">
        <f t="shared" si="17"/>
        <v>5005440</v>
      </c>
      <c r="U41" s="105">
        <f t="shared" si="18"/>
        <v>1422000</v>
      </c>
      <c r="V41" s="105">
        <f t="shared" si="19"/>
        <v>25596000</v>
      </c>
      <c r="W41" s="105">
        <f>INT(M41/176.4)</f>
        <v>0</v>
      </c>
      <c r="X41" s="34">
        <f>W41*3500000</f>
        <v>0</v>
      </c>
      <c r="Y41" s="246">
        <f t="shared" si="20"/>
        <v>40555440</v>
      </c>
      <c r="Z41" s="292"/>
      <c r="AA41" s="30"/>
      <c r="AB41" s="302"/>
      <c r="AC41" s="303"/>
      <c r="AD41" s="306" t="s">
        <v>85</v>
      </c>
      <c r="AE41" s="303"/>
      <c r="AF41" s="316">
        <f>Y41</f>
        <v>40555440</v>
      </c>
    </row>
    <row r="42" spans="1:31" s="35" customFormat="1" ht="63.75" customHeight="1">
      <c r="A42" s="30">
        <v>2</v>
      </c>
      <c r="B42" s="75" t="s">
        <v>164</v>
      </c>
      <c r="C42" s="37">
        <v>82</v>
      </c>
      <c r="D42" s="37">
        <v>120</v>
      </c>
      <c r="E42" s="37">
        <v>192.5</v>
      </c>
      <c r="F42" s="30" t="s">
        <v>0</v>
      </c>
      <c r="G42" s="32" t="s">
        <v>68</v>
      </c>
      <c r="H42" s="109">
        <f>E42</f>
        <v>192.5</v>
      </c>
      <c r="I42" s="109"/>
      <c r="J42" s="109"/>
      <c r="K42" s="32"/>
      <c r="L42" s="33">
        <f t="shared" si="14"/>
        <v>192.5</v>
      </c>
      <c r="M42" s="72">
        <f>L42+L43</f>
        <v>459.2</v>
      </c>
      <c r="N42" s="105">
        <v>60000</v>
      </c>
      <c r="O42" s="105">
        <f t="shared" si="15"/>
        <v>11550000</v>
      </c>
      <c r="P42" s="33" t="s">
        <v>30</v>
      </c>
      <c r="Q42" s="33">
        <f t="shared" si="16"/>
        <v>192.5</v>
      </c>
      <c r="R42" s="33" t="s">
        <v>38</v>
      </c>
      <c r="S42" s="105">
        <v>9500</v>
      </c>
      <c r="T42" s="105">
        <f t="shared" si="17"/>
        <v>1828750</v>
      </c>
      <c r="U42" s="105">
        <f t="shared" si="18"/>
        <v>1925000</v>
      </c>
      <c r="V42" s="105">
        <f t="shared" si="19"/>
        <v>34650000</v>
      </c>
      <c r="W42" s="105">
        <f aca="true" t="shared" si="21" ref="W42:W85">INT(M42/176.4)</f>
        <v>2</v>
      </c>
      <c r="X42" s="34">
        <f aca="true" t="shared" si="22" ref="X42:X85">W42*3500000</f>
        <v>7000000</v>
      </c>
      <c r="Y42" s="246">
        <f t="shared" si="20"/>
        <v>56953750</v>
      </c>
      <c r="Z42" s="289">
        <f>Y42+Y43</f>
        <v>126162400</v>
      </c>
      <c r="AA42" s="30"/>
      <c r="AB42" s="302"/>
      <c r="AC42" s="303"/>
      <c r="AD42" s="303"/>
      <c r="AE42" s="303"/>
    </row>
    <row r="43" spans="1:31" s="35" customFormat="1" ht="63.75" customHeight="1">
      <c r="A43" s="30">
        <v>2</v>
      </c>
      <c r="B43" s="75" t="s">
        <v>164</v>
      </c>
      <c r="C43" s="37">
        <v>72</v>
      </c>
      <c r="D43" s="37">
        <v>176</v>
      </c>
      <c r="E43" s="37">
        <v>266.7</v>
      </c>
      <c r="F43" s="30" t="s">
        <v>45</v>
      </c>
      <c r="G43" s="32" t="s">
        <v>76</v>
      </c>
      <c r="H43" s="109">
        <f>E43</f>
        <v>266.7</v>
      </c>
      <c r="I43" s="109"/>
      <c r="J43" s="109"/>
      <c r="K43" s="32"/>
      <c r="L43" s="33">
        <f t="shared" si="14"/>
        <v>266.7</v>
      </c>
      <c r="M43" s="73"/>
      <c r="N43" s="105">
        <v>60000</v>
      </c>
      <c r="O43" s="105">
        <f t="shared" si="15"/>
        <v>16002000</v>
      </c>
      <c r="P43" s="33" t="s">
        <v>30</v>
      </c>
      <c r="Q43" s="33">
        <f t="shared" si="16"/>
        <v>266.7</v>
      </c>
      <c r="R43" s="33" t="s">
        <v>38</v>
      </c>
      <c r="S43" s="105">
        <v>9500</v>
      </c>
      <c r="T43" s="105">
        <f t="shared" si="17"/>
        <v>2533650</v>
      </c>
      <c r="U43" s="105">
        <f t="shared" si="18"/>
        <v>2667000</v>
      </c>
      <c r="V43" s="105">
        <f t="shared" si="19"/>
        <v>48006000</v>
      </c>
      <c r="W43" s="105">
        <f t="shared" si="21"/>
        <v>0</v>
      </c>
      <c r="X43" s="34">
        <f t="shared" si="22"/>
        <v>0</v>
      </c>
      <c r="Y43" s="246">
        <f t="shared" si="20"/>
        <v>69208650</v>
      </c>
      <c r="Z43" s="292"/>
      <c r="AA43" s="30"/>
      <c r="AB43" s="302"/>
      <c r="AC43" s="303"/>
      <c r="AD43" s="303"/>
      <c r="AE43" s="303"/>
    </row>
    <row r="44" spans="1:39" s="43" customFormat="1" ht="63.75" customHeight="1">
      <c r="A44" s="37">
        <v>3</v>
      </c>
      <c r="B44" s="75" t="s">
        <v>165</v>
      </c>
      <c r="C44" s="37">
        <v>72</v>
      </c>
      <c r="D44" s="37">
        <v>50</v>
      </c>
      <c r="E44" s="44">
        <v>311</v>
      </c>
      <c r="F44" s="30" t="s">
        <v>0</v>
      </c>
      <c r="G44" s="76" t="s">
        <v>43</v>
      </c>
      <c r="H44" s="109">
        <f>E44</f>
        <v>311</v>
      </c>
      <c r="I44" s="286"/>
      <c r="J44" s="286"/>
      <c r="K44" s="76"/>
      <c r="L44" s="33">
        <f t="shared" si="14"/>
        <v>311</v>
      </c>
      <c r="M44" s="72">
        <f>SUM(L44:L53)</f>
        <v>1576.8999999999999</v>
      </c>
      <c r="N44" s="105">
        <v>60000</v>
      </c>
      <c r="O44" s="105">
        <f t="shared" si="15"/>
        <v>18660000</v>
      </c>
      <c r="P44" s="33" t="s">
        <v>30</v>
      </c>
      <c r="Q44" s="33">
        <f t="shared" si="16"/>
        <v>311</v>
      </c>
      <c r="R44" s="33" t="s">
        <v>39</v>
      </c>
      <c r="S44" s="105">
        <v>9500</v>
      </c>
      <c r="T44" s="105">
        <f t="shared" si="17"/>
        <v>2954500</v>
      </c>
      <c r="U44" s="105">
        <f t="shared" si="18"/>
        <v>3110000</v>
      </c>
      <c r="V44" s="105">
        <f t="shared" si="19"/>
        <v>55980000</v>
      </c>
      <c r="W44" s="105">
        <f t="shared" si="21"/>
        <v>8</v>
      </c>
      <c r="X44" s="34">
        <f t="shared" si="22"/>
        <v>28000000</v>
      </c>
      <c r="Y44" s="246">
        <f t="shared" si="20"/>
        <v>108704500</v>
      </c>
      <c r="Z44" s="111">
        <f>Y44</f>
        <v>108704500</v>
      </c>
      <c r="AA44" s="77"/>
      <c r="AB44" s="302"/>
      <c r="AC44" s="303"/>
      <c r="AD44" s="303"/>
      <c r="AE44" s="303"/>
      <c r="AF44" s="35"/>
      <c r="AG44" s="35"/>
      <c r="AH44" s="35"/>
      <c r="AI44" s="35"/>
      <c r="AJ44" s="35"/>
      <c r="AK44" s="35"/>
      <c r="AL44" s="35"/>
      <c r="AM44" s="35"/>
    </row>
    <row r="45" spans="1:39" s="43" customFormat="1" ht="63.75" customHeight="1">
      <c r="A45" s="37">
        <v>3</v>
      </c>
      <c r="B45" s="75" t="s">
        <v>165</v>
      </c>
      <c r="C45" s="37">
        <v>72</v>
      </c>
      <c r="D45" s="37">
        <v>168</v>
      </c>
      <c r="E45" s="37">
        <v>146.9</v>
      </c>
      <c r="F45" s="37" t="s">
        <v>45</v>
      </c>
      <c r="G45" s="32" t="s">
        <v>44</v>
      </c>
      <c r="H45" s="109"/>
      <c r="I45" s="32">
        <f>E45</f>
        <v>146.9</v>
      </c>
      <c r="J45" s="32"/>
      <c r="K45" s="76"/>
      <c r="L45" s="33">
        <f t="shared" si="14"/>
        <v>146.9</v>
      </c>
      <c r="M45" s="298"/>
      <c r="N45" s="105">
        <v>60000</v>
      </c>
      <c r="O45" s="105">
        <f t="shared" si="15"/>
        <v>8814000</v>
      </c>
      <c r="P45" s="33" t="s">
        <v>30</v>
      </c>
      <c r="Q45" s="33">
        <f t="shared" si="16"/>
        <v>146.9</v>
      </c>
      <c r="R45" s="33" t="s">
        <v>39</v>
      </c>
      <c r="S45" s="105">
        <v>9500</v>
      </c>
      <c r="T45" s="105">
        <f t="shared" si="17"/>
        <v>1395550</v>
      </c>
      <c r="U45" s="105">
        <f t="shared" si="18"/>
        <v>1469000</v>
      </c>
      <c r="V45" s="105">
        <f t="shared" si="19"/>
        <v>26442000</v>
      </c>
      <c r="W45" s="105">
        <f t="shared" si="21"/>
        <v>0</v>
      </c>
      <c r="X45" s="34">
        <f t="shared" si="22"/>
        <v>0</v>
      </c>
      <c r="Y45" s="246">
        <f t="shared" si="20"/>
        <v>38120550</v>
      </c>
      <c r="Z45" s="111">
        <f aca="true" t="shared" si="23" ref="Z45:Z85">Y45</f>
        <v>38120550</v>
      </c>
      <c r="AA45" s="77"/>
      <c r="AB45" s="302"/>
      <c r="AC45" s="303"/>
      <c r="AD45" s="303"/>
      <c r="AE45" s="303"/>
      <c r="AF45" s="35"/>
      <c r="AG45" s="35"/>
      <c r="AH45" s="35"/>
      <c r="AI45" s="35"/>
      <c r="AJ45" s="35"/>
      <c r="AK45" s="35"/>
      <c r="AL45" s="35"/>
      <c r="AM45" s="35"/>
    </row>
    <row r="46" spans="1:39" s="43" customFormat="1" ht="63.75" customHeight="1">
      <c r="A46" s="37">
        <v>3</v>
      </c>
      <c r="B46" s="75" t="s">
        <v>165</v>
      </c>
      <c r="C46" s="37">
        <v>72</v>
      </c>
      <c r="D46" s="37">
        <v>174</v>
      </c>
      <c r="E46" s="44">
        <v>139</v>
      </c>
      <c r="F46" s="37" t="s">
        <v>45</v>
      </c>
      <c r="G46" s="76" t="s">
        <v>44</v>
      </c>
      <c r="H46" s="109"/>
      <c r="I46" s="32">
        <f>E46</f>
        <v>139</v>
      </c>
      <c r="J46" s="32"/>
      <c r="K46" s="76"/>
      <c r="L46" s="33">
        <f t="shared" si="14"/>
        <v>139</v>
      </c>
      <c r="M46" s="298"/>
      <c r="N46" s="105">
        <v>60000</v>
      </c>
      <c r="O46" s="105">
        <f t="shared" si="15"/>
        <v>8340000</v>
      </c>
      <c r="P46" s="33" t="s">
        <v>30</v>
      </c>
      <c r="Q46" s="33">
        <f t="shared" si="16"/>
        <v>139</v>
      </c>
      <c r="R46" s="33" t="s">
        <v>38</v>
      </c>
      <c r="S46" s="105">
        <v>9500</v>
      </c>
      <c r="T46" s="105">
        <f aca="true" t="shared" si="24" ref="T46:T85">Q46*S46</f>
        <v>1320500</v>
      </c>
      <c r="U46" s="105">
        <f t="shared" si="18"/>
        <v>1390000</v>
      </c>
      <c r="V46" s="105">
        <f t="shared" si="19"/>
        <v>25020000</v>
      </c>
      <c r="W46" s="105">
        <f t="shared" si="21"/>
        <v>0</v>
      </c>
      <c r="X46" s="34">
        <f t="shared" si="22"/>
        <v>0</v>
      </c>
      <c r="Y46" s="246">
        <f t="shared" si="20"/>
        <v>36070500</v>
      </c>
      <c r="Z46" s="111">
        <f t="shared" si="23"/>
        <v>36070500</v>
      </c>
      <c r="AA46" s="77"/>
      <c r="AB46" s="302"/>
      <c r="AC46" s="303"/>
      <c r="AD46" s="303"/>
      <c r="AE46" s="303"/>
      <c r="AF46" s="35"/>
      <c r="AG46" s="35"/>
      <c r="AH46" s="35"/>
      <c r="AI46" s="35"/>
      <c r="AJ46" s="35"/>
      <c r="AK46" s="35"/>
      <c r="AL46" s="35"/>
      <c r="AM46" s="35"/>
    </row>
    <row r="47" spans="1:39" s="43" customFormat="1" ht="63.75" customHeight="1">
      <c r="A47" s="37">
        <v>3</v>
      </c>
      <c r="B47" s="75" t="s">
        <v>165</v>
      </c>
      <c r="C47" s="37">
        <v>72</v>
      </c>
      <c r="D47" s="37">
        <v>210</v>
      </c>
      <c r="E47" s="37">
        <v>53.2</v>
      </c>
      <c r="F47" s="37" t="s">
        <v>45</v>
      </c>
      <c r="G47" s="32" t="s">
        <v>44</v>
      </c>
      <c r="H47" s="109"/>
      <c r="I47" s="32">
        <f>E47</f>
        <v>53.2</v>
      </c>
      <c r="J47" s="32"/>
      <c r="K47" s="32"/>
      <c r="L47" s="33">
        <f t="shared" si="14"/>
        <v>53.2</v>
      </c>
      <c r="M47" s="298"/>
      <c r="N47" s="105">
        <v>60000</v>
      </c>
      <c r="O47" s="105">
        <f t="shared" si="15"/>
        <v>3192000</v>
      </c>
      <c r="P47" s="33" t="s">
        <v>30</v>
      </c>
      <c r="Q47" s="33">
        <f t="shared" si="16"/>
        <v>53.2</v>
      </c>
      <c r="R47" s="33" t="s">
        <v>38</v>
      </c>
      <c r="S47" s="105">
        <v>9500</v>
      </c>
      <c r="T47" s="105">
        <f t="shared" si="24"/>
        <v>505400</v>
      </c>
      <c r="U47" s="105">
        <f t="shared" si="18"/>
        <v>532000</v>
      </c>
      <c r="V47" s="105">
        <f t="shared" si="19"/>
        <v>9576000</v>
      </c>
      <c r="W47" s="105">
        <f t="shared" si="21"/>
        <v>0</v>
      </c>
      <c r="X47" s="34">
        <f t="shared" si="22"/>
        <v>0</v>
      </c>
      <c r="Y47" s="246">
        <f t="shared" si="20"/>
        <v>13805400</v>
      </c>
      <c r="Z47" s="111">
        <f t="shared" si="23"/>
        <v>13805400</v>
      </c>
      <c r="AA47" s="77"/>
      <c r="AB47" s="302"/>
      <c r="AC47" s="303"/>
      <c r="AD47" s="303"/>
      <c r="AE47" s="303"/>
      <c r="AF47" s="35"/>
      <c r="AG47" s="35"/>
      <c r="AH47" s="35"/>
      <c r="AI47" s="35"/>
      <c r="AJ47" s="35"/>
      <c r="AK47" s="35"/>
      <c r="AL47" s="35"/>
      <c r="AM47" s="35"/>
    </row>
    <row r="48" spans="1:39" s="43" customFormat="1" ht="63.75" customHeight="1">
      <c r="A48" s="37">
        <v>3</v>
      </c>
      <c r="B48" s="75" t="s">
        <v>165</v>
      </c>
      <c r="C48" s="37">
        <v>72</v>
      </c>
      <c r="D48" s="37">
        <v>220</v>
      </c>
      <c r="E48" s="37">
        <v>193.7</v>
      </c>
      <c r="F48" s="37" t="s">
        <v>45</v>
      </c>
      <c r="G48" s="76" t="s">
        <v>44</v>
      </c>
      <c r="H48" s="109"/>
      <c r="I48" s="32">
        <f>E48</f>
        <v>193.7</v>
      </c>
      <c r="J48" s="32"/>
      <c r="K48" s="32"/>
      <c r="L48" s="33">
        <f t="shared" si="14"/>
        <v>193.7</v>
      </c>
      <c r="M48" s="298"/>
      <c r="N48" s="105">
        <v>60000</v>
      </c>
      <c r="O48" s="105">
        <f t="shared" si="15"/>
        <v>11622000</v>
      </c>
      <c r="P48" s="33" t="s">
        <v>30</v>
      </c>
      <c r="Q48" s="33">
        <f t="shared" si="16"/>
        <v>193.7</v>
      </c>
      <c r="R48" s="33" t="s">
        <v>38</v>
      </c>
      <c r="S48" s="105">
        <v>9500</v>
      </c>
      <c r="T48" s="105">
        <f t="shared" si="24"/>
        <v>1840150</v>
      </c>
      <c r="U48" s="105">
        <f t="shared" si="18"/>
        <v>1937000</v>
      </c>
      <c r="V48" s="105">
        <f t="shared" si="19"/>
        <v>34866000</v>
      </c>
      <c r="W48" s="105">
        <f t="shared" si="21"/>
        <v>0</v>
      </c>
      <c r="X48" s="34">
        <f t="shared" si="22"/>
        <v>0</v>
      </c>
      <c r="Y48" s="246">
        <f t="shared" si="20"/>
        <v>50265150</v>
      </c>
      <c r="Z48" s="111">
        <f t="shared" si="23"/>
        <v>50265150</v>
      </c>
      <c r="AA48" s="77"/>
      <c r="AB48" s="302"/>
      <c r="AC48" s="303"/>
      <c r="AD48" s="303"/>
      <c r="AE48" s="303"/>
      <c r="AF48" s="35"/>
      <c r="AG48" s="35"/>
      <c r="AH48" s="35"/>
      <c r="AI48" s="35"/>
      <c r="AJ48" s="35"/>
      <c r="AK48" s="35"/>
      <c r="AL48" s="35"/>
      <c r="AM48" s="35"/>
    </row>
    <row r="49" spans="1:39" s="43" customFormat="1" ht="63.75" customHeight="1">
      <c r="A49" s="37">
        <v>3</v>
      </c>
      <c r="B49" s="75" t="s">
        <v>165</v>
      </c>
      <c r="C49" s="37">
        <v>82</v>
      </c>
      <c r="D49" s="37">
        <v>309</v>
      </c>
      <c r="E49" s="37">
        <v>406.5</v>
      </c>
      <c r="F49" s="37" t="s">
        <v>0</v>
      </c>
      <c r="G49" s="32" t="s">
        <v>32</v>
      </c>
      <c r="H49" s="109">
        <f>E49</f>
        <v>406.5</v>
      </c>
      <c r="I49" s="109"/>
      <c r="J49" s="109"/>
      <c r="K49" s="32"/>
      <c r="L49" s="33">
        <f t="shared" si="14"/>
        <v>406.5</v>
      </c>
      <c r="M49" s="298"/>
      <c r="N49" s="105">
        <v>60000</v>
      </c>
      <c r="O49" s="105">
        <f t="shared" si="15"/>
        <v>24390000</v>
      </c>
      <c r="P49" s="33" t="s">
        <v>30</v>
      </c>
      <c r="Q49" s="33">
        <f t="shared" si="16"/>
        <v>406.5</v>
      </c>
      <c r="R49" s="33" t="s">
        <v>38</v>
      </c>
      <c r="S49" s="105">
        <v>9500</v>
      </c>
      <c r="T49" s="105">
        <f t="shared" si="24"/>
        <v>3861750</v>
      </c>
      <c r="U49" s="105">
        <f t="shared" si="18"/>
        <v>4065000</v>
      </c>
      <c r="V49" s="105">
        <f t="shared" si="19"/>
        <v>73170000</v>
      </c>
      <c r="W49" s="105">
        <f t="shared" si="21"/>
        <v>0</v>
      </c>
      <c r="X49" s="34">
        <f t="shared" si="22"/>
        <v>0</v>
      </c>
      <c r="Y49" s="246">
        <f t="shared" si="20"/>
        <v>105486750</v>
      </c>
      <c r="Z49" s="111">
        <f t="shared" si="23"/>
        <v>105486750</v>
      </c>
      <c r="AA49" s="77"/>
      <c r="AB49" s="302"/>
      <c r="AC49" s="303"/>
      <c r="AD49" s="303"/>
      <c r="AE49" s="303"/>
      <c r="AF49" s="35"/>
      <c r="AG49" s="35"/>
      <c r="AH49" s="35"/>
      <c r="AI49" s="35"/>
      <c r="AJ49" s="35"/>
      <c r="AK49" s="35"/>
      <c r="AL49" s="35"/>
      <c r="AM49" s="35"/>
    </row>
    <row r="50" spans="1:39" s="307" customFormat="1" ht="63.75" customHeight="1">
      <c r="A50" s="37">
        <v>3</v>
      </c>
      <c r="B50" s="75" t="s">
        <v>165</v>
      </c>
      <c r="C50" s="37">
        <v>82</v>
      </c>
      <c r="D50" s="37">
        <v>308</v>
      </c>
      <c r="E50" s="37">
        <v>608.1</v>
      </c>
      <c r="F50" s="37" t="s">
        <v>0</v>
      </c>
      <c r="G50" s="32" t="s">
        <v>32</v>
      </c>
      <c r="H50" s="109"/>
      <c r="I50" s="32">
        <f>25.5</f>
        <v>25.5</v>
      </c>
      <c r="J50" s="32"/>
      <c r="K50" s="32"/>
      <c r="L50" s="33">
        <f t="shared" si="14"/>
        <v>25.5</v>
      </c>
      <c r="M50" s="298"/>
      <c r="N50" s="105">
        <v>60000</v>
      </c>
      <c r="O50" s="105">
        <f>L50*N50</f>
        <v>1530000</v>
      </c>
      <c r="P50" s="33" t="s">
        <v>30</v>
      </c>
      <c r="Q50" s="33">
        <f>L50</f>
        <v>25.5</v>
      </c>
      <c r="R50" s="33" t="s">
        <v>38</v>
      </c>
      <c r="S50" s="105">
        <v>9500</v>
      </c>
      <c r="T50" s="105">
        <f t="shared" si="24"/>
        <v>242250</v>
      </c>
      <c r="U50" s="105">
        <f>L50*10000</f>
        <v>255000</v>
      </c>
      <c r="V50" s="105">
        <f>L50*N50*3</f>
        <v>4590000</v>
      </c>
      <c r="W50" s="105">
        <f t="shared" si="21"/>
        <v>0</v>
      </c>
      <c r="X50" s="34">
        <f t="shared" si="22"/>
        <v>0</v>
      </c>
      <c r="Y50" s="246">
        <f t="shared" si="20"/>
        <v>6617250</v>
      </c>
      <c r="Z50" s="111">
        <f>Y50</f>
        <v>6617250</v>
      </c>
      <c r="AA50" s="37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</row>
    <row r="51" spans="1:39" s="43" customFormat="1" ht="63.75" customHeight="1">
      <c r="A51" s="37">
        <v>3</v>
      </c>
      <c r="B51" s="75" t="s">
        <v>165</v>
      </c>
      <c r="C51" s="37">
        <v>82</v>
      </c>
      <c r="D51" s="37">
        <v>85</v>
      </c>
      <c r="E51" s="37">
        <v>153.5</v>
      </c>
      <c r="F51" s="37" t="s">
        <v>0</v>
      </c>
      <c r="G51" s="76" t="s">
        <v>32</v>
      </c>
      <c r="H51" s="109">
        <f>144</f>
        <v>144</v>
      </c>
      <c r="I51" s="109">
        <f>E51-H51</f>
        <v>9.5</v>
      </c>
      <c r="J51" s="109"/>
      <c r="K51" s="109"/>
      <c r="L51" s="33">
        <f t="shared" si="14"/>
        <v>153.5</v>
      </c>
      <c r="M51" s="298"/>
      <c r="N51" s="105">
        <v>60000</v>
      </c>
      <c r="O51" s="105">
        <f t="shared" si="15"/>
        <v>9210000</v>
      </c>
      <c r="P51" s="33" t="s">
        <v>30</v>
      </c>
      <c r="Q51" s="33">
        <f t="shared" si="16"/>
        <v>153.5</v>
      </c>
      <c r="R51" s="33" t="s">
        <v>38</v>
      </c>
      <c r="S51" s="105">
        <v>9500</v>
      </c>
      <c r="T51" s="105">
        <f t="shared" si="24"/>
        <v>1458250</v>
      </c>
      <c r="U51" s="105">
        <f t="shared" si="18"/>
        <v>1535000</v>
      </c>
      <c r="V51" s="105">
        <f t="shared" si="19"/>
        <v>27630000</v>
      </c>
      <c r="W51" s="105">
        <f t="shared" si="21"/>
        <v>0</v>
      </c>
      <c r="X51" s="34">
        <f t="shared" si="22"/>
        <v>0</v>
      </c>
      <c r="Y51" s="246">
        <f t="shared" si="20"/>
        <v>39833250</v>
      </c>
      <c r="Z51" s="111">
        <f t="shared" si="23"/>
        <v>39833250</v>
      </c>
      <c r="AA51" s="77"/>
      <c r="AB51" s="302"/>
      <c r="AC51" s="303"/>
      <c r="AD51" s="303"/>
      <c r="AE51" s="303"/>
      <c r="AF51" s="35"/>
      <c r="AG51" s="35"/>
      <c r="AH51" s="35"/>
      <c r="AI51" s="35"/>
      <c r="AJ51" s="35"/>
      <c r="AK51" s="35"/>
      <c r="AL51" s="35"/>
      <c r="AM51" s="35"/>
    </row>
    <row r="52" spans="1:39" s="43" customFormat="1" ht="63.75" customHeight="1">
      <c r="A52" s="37">
        <v>3</v>
      </c>
      <c r="B52" s="75" t="s">
        <v>165</v>
      </c>
      <c r="C52" s="37">
        <v>72</v>
      </c>
      <c r="D52" s="37">
        <v>87</v>
      </c>
      <c r="E52" s="37">
        <v>68.1</v>
      </c>
      <c r="F52" s="37" t="s">
        <v>45</v>
      </c>
      <c r="G52" s="76" t="s">
        <v>44</v>
      </c>
      <c r="H52" s="109">
        <v>64.8</v>
      </c>
      <c r="I52" s="109">
        <f>E52-H52</f>
        <v>3.299999999999997</v>
      </c>
      <c r="J52" s="109"/>
      <c r="K52" s="109"/>
      <c r="L52" s="33">
        <f t="shared" si="14"/>
        <v>68.1</v>
      </c>
      <c r="M52" s="298"/>
      <c r="N52" s="105">
        <v>60000</v>
      </c>
      <c r="O52" s="105">
        <f t="shared" si="15"/>
        <v>4085999.9999999995</v>
      </c>
      <c r="P52" s="33" t="s">
        <v>30</v>
      </c>
      <c r="Q52" s="33">
        <f t="shared" si="16"/>
        <v>68.1</v>
      </c>
      <c r="R52" s="33" t="s">
        <v>38</v>
      </c>
      <c r="S52" s="105">
        <v>9500</v>
      </c>
      <c r="T52" s="105">
        <f t="shared" si="24"/>
        <v>646950</v>
      </c>
      <c r="U52" s="105">
        <f t="shared" si="18"/>
        <v>681000</v>
      </c>
      <c r="V52" s="105">
        <f t="shared" si="19"/>
        <v>12257999.999999998</v>
      </c>
      <c r="W52" s="105">
        <f t="shared" si="21"/>
        <v>0</v>
      </c>
      <c r="X52" s="34">
        <f t="shared" si="22"/>
        <v>0</v>
      </c>
      <c r="Y52" s="246">
        <f t="shared" si="20"/>
        <v>17671950</v>
      </c>
      <c r="Z52" s="111">
        <f t="shared" si="23"/>
        <v>17671950</v>
      </c>
      <c r="AA52" s="77"/>
      <c r="AB52" s="302"/>
      <c r="AC52" s="303"/>
      <c r="AD52" s="303"/>
      <c r="AE52" s="303"/>
      <c r="AF52" s="35"/>
      <c r="AG52" s="35"/>
      <c r="AH52" s="35"/>
      <c r="AI52" s="35"/>
      <c r="AJ52" s="35"/>
      <c r="AK52" s="35"/>
      <c r="AL52" s="35"/>
      <c r="AM52" s="35"/>
    </row>
    <row r="53" spans="1:39" s="307" customFormat="1" ht="63.75" customHeight="1">
      <c r="A53" s="37">
        <v>3</v>
      </c>
      <c r="B53" s="75" t="s">
        <v>165</v>
      </c>
      <c r="C53" s="37">
        <v>81</v>
      </c>
      <c r="D53" s="37">
        <v>69</v>
      </c>
      <c r="E53" s="37">
        <v>79.5</v>
      </c>
      <c r="F53" s="37" t="s">
        <v>0</v>
      </c>
      <c r="G53" s="76" t="s">
        <v>37</v>
      </c>
      <c r="H53" s="109">
        <f>E53</f>
        <v>79.5</v>
      </c>
      <c r="I53" s="109"/>
      <c r="J53" s="109"/>
      <c r="K53" s="32"/>
      <c r="L53" s="33">
        <f t="shared" si="14"/>
        <v>79.5</v>
      </c>
      <c r="M53" s="299"/>
      <c r="N53" s="105">
        <v>60000</v>
      </c>
      <c r="O53" s="105">
        <f>L53*N53</f>
        <v>4770000</v>
      </c>
      <c r="P53" s="33" t="s">
        <v>30</v>
      </c>
      <c r="Q53" s="33">
        <f>L53</f>
        <v>79.5</v>
      </c>
      <c r="R53" s="33" t="s">
        <v>38</v>
      </c>
      <c r="S53" s="105">
        <v>9500</v>
      </c>
      <c r="T53" s="105">
        <f>Q53*S53</f>
        <v>755250</v>
      </c>
      <c r="U53" s="105">
        <f>L53*10000</f>
        <v>795000</v>
      </c>
      <c r="V53" s="105">
        <f>L53*N53*3</f>
        <v>14310000</v>
      </c>
      <c r="W53" s="105">
        <f t="shared" si="21"/>
        <v>0</v>
      </c>
      <c r="X53" s="34">
        <f t="shared" si="22"/>
        <v>0</v>
      </c>
      <c r="Y53" s="246">
        <f t="shared" si="20"/>
        <v>20630250</v>
      </c>
      <c r="Z53" s="111">
        <f>Y53</f>
        <v>20630250</v>
      </c>
      <c r="AA53" s="37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</row>
    <row r="54" spans="1:39" s="43" customFormat="1" ht="63.75" customHeight="1">
      <c r="A54" s="37">
        <v>4</v>
      </c>
      <c r="B54" s="75" t="s">
        <v>166</v>
      </c>
      <c r="C54" s="37">
        <v>82</v>
      </c>
      <c r="D54" s="37">
        <v>329</v>
      </c>
      <c r="E54" s="37">
        <v>443.9</v>
      </c>
      <c r="F54" s="82" t="s">
        <v>0</v>
      </c>
      <c r="G54" s="76" t="s">
        <v>44</v>
      </c>
      <c r="H54" s="76"/>
      <c r="I54" s="32">
        <v>432</v>
      </c>
      <c r="J54" s="32"/>
      <c r="K54" s="32"/>
      <c r="L54" s="33">
        <f t="shared" si="14"/>
        <v>432</v>
      </c>
      <c r="M54" s="300">
        <f>L54</f>
        <v>432</v>
      </c>
      <c r="N54" s="105">
        <v>60000</v>
      </c>
      <c r="O54" s="105">
        <f t="shared" si="15"/>
        <v>25920000</v>
      </c>
      <c r="P54" s="33" t="s">
        <v>30</v>
      </c>
      <c r="Q54" s="33">
        <f t="shared" si="16"/>
        <v>432</v>
      </c>
      <c r="R54" s="33" t="s">
        <v>38</v>
      </c>
      <c r="S54" s="105">
        <v>9500</v>
      </c>
      <c r="T54" s="105">
        <f t="shared" si="24"/>
        <v>4104000</v>
      </c>
      <c r="U54" s="105">
        <f t="shared" si="18"/>
        <v>4320000</v>
      </c>
      <c r="V54" s="105">
        <f t="shared" si="19"/>
        <v>77760000</v>
      </c>
      <c r="W54" s="105">
        <f t="shared" si="21"/>
        <v>2</v>
      </c>
      <c r="X54" s="34">
        <f t="shared" si="22"/>
        <v>7000000</v>
      </c>
      <c r="Y54" s="246">
        <f t="shared" si="20"/>
        <v>119104000</v>
      </c>
      <c r="Z54" s="111">
        <f t="shared" si="23"/>
        <v>119104000</v>
      </c>
      <c r="AA54" s="37" t="s">
        <v>71</v>
      </c>
      <c r="AB54" s="302"/>
      <c r="AC54" s="302" t="s">
        <v>103</v>
      </c>
      <c r="AD54" s="303"/>
      <c r="AE54" s="303"/>
      <c r="AF54" s="35"/>
      <c r="AG54" s="35"/>
      <c r="AH54" s="35"/>
      <c r="AI54" s="35"/>
      <c r="AJ54" s="35"/>
      <c r="AK54" s="35"/>
      <c r="AL54" s="35"/>
      <c r="AM54" s="35"/>
    </row>
    <row r="55" spans="1:39" s="43" customFormat="1" ht="63.75" customHeight="1">
      <c r="A55" s="37">
        <v>5</v>
      </c>
      <c r="B55" s="80" t="s">
        <v>167</v>
      </c>
      <c r="C55" s="81">
        <v>72</v>
      </c>
      <c r="D55" s="81">
        <v>96</v>
      </c>
      <c r="E55" s="44">
        <v>65.3</v>
      </c>
      <c r="F55" s="82" t="s">
        <v>45</v>
      </c>
      <c r="G55" s="32" t="s">
        <v>44</v>
      </c>
      <c r="H55" s="32"/>
      <c r="I55" s="32">
        <v>65.3</v>
      </c>
      <c r="J55" s="32"/>
      <c r="K55" s="32"/>
      <c r="L55" s="33">
        <f t="shared" si="14"/>
        <v>65.3</v>
      </c>
      <c r="M55" s="72">
        <f>SUM(L55:L60)</f>
        <v>846.3</v>
      </c>
      <c r="N55" s="105">
        <v>60000</v>
      </c>
      <c r="O55" s="105">
        <f t="shared" si="15"/>
        <v>3918000</v>
      </c>
      <c r="P55" s="33" t="s">
        <v>30</v>
      </c>
      <c r="Q55" s="33">
        <f t="shared" si="16"/>
        <v>65.3</v>
      </c>
      <c r="R55" s="33" t="s">
        <v>38</v>
      </c>
      <c r="S55" s="105">
        <v>9500</v>
      </c>
      <c r="T55" s="105">
        <f t="shared" si="24"/>
        <v>620350</v>
      </c>
      <c r="U55" s="105">
        <f t="shared" si="18"/>
        <v>653000</v>
      </c>
      <c r="V55" s="105">
        <f t="shared" si="19"/>
        <v>11754000</v>
      </c>
      <c r="W55" s="105">
        <f t="shared" si="21"/>
        <v>4</v>
      </c>
      <c r="X55" s="34">
        <f t="shared" si="22"/>
        <v>14000000</v>
      </c>
      <c r="Y55" s="246">
        <f t="shared" si="20"/>
        <v>30945350</v>
      </c>
      <c r="Z55" s="111">
        <f t="shared" si="23"/>
        <v>30945350</v>
      </c>
      <c r="AA55" s="77"/>
      <c r="AB55" s="302"/>
      <c r="AC55" s="303"/>
      <c r="AD55" s="303"/>
      <c r="AE55" s="303"/>
      <c r="AF55" s="35"/>
      <c r="AG55" s="35"/>
      <c r="AH55" s="35"/>
      <c r="AI55" s="35"/>
      <c r="AJ55" s="35"/>
      <c r="AK55" s="35"/>
      <c r="AL55" s="35"/>
      <c r="AM55" s="35"/>
    </row>
    <row r="56" spans="1:39" s="43" customFormat="1" ht="63.75" customHeight="1">
      <c r="A56" s="37">
        <v>5</v>
      </c>
      <c r="B56" s="80" t="s">
        <v>167</v>
      </c>
      <c r="C56" s="81">
        <v>72</v>
      </c>
      <c r="D56" s="81">
        <v>94</v>
      </c>
      <c r="E56" s="44">
        <v>142.2</v>
      </c>
      <c r="F56" s="82" t="s">
        <v>45</v>
      </c>
      <c r="G56" s="76" t="s">
        <v>44</v>
      </c>
      <c r="H56" s="32"/>
      <c r="I56" s="32">
        <v>142.2</v>
      </c>
      <c r="J56" s="32"/>
      <c r="K56" s="32"/>
      <c r="L56" s="33">
        <f t="shared" si="14"/>
        <v>142.2</v>
      </c>
      <c r="M56" s="78"/>
      <c r="N56" s="105">
        <v>60000</v>
      </c>
      <c r="O56" s="105">
        <f t="shared" si="15"/>
        <v>8532000</v>
      </c>
      <c r="P56" s="33" t="s">
        <v>30</v>
      </c>
      <c r="Q56" s="33">
        <f t="shared" si="16"/>
        <v>142.2</v>
      </c>
      <c r="R56" s="33" t="s">
        <v>38</v>
      </c>
      <c r="S56" s="105">
        <v>9500</v>
      </c>
      <c r="T56" s="105">
        <f t="shared" si="24"/>
        <v>1350900</v>
      </c>
      <c r="U56" s="105">
        <f t="shared" si="18"/>
        <v>1422000</v>
      </c>
      <c r="V56" s="105">
        <f t="shared" si="19"/>
        <v>25596000</v>
      </c>
      <c r="W56" s="105">
        <f t="shared" si="21"/>
        <v>0</v>
      </c>
      <c r="X56" s="34">
        <f t="shared" si="22"/>
        <v>0</v>
      </c>
      <c r="Y56" s="246">
        <f t="shared" si="20"/>
        <v>36900900</v>
      </c>
      <c r="Z56" s="111">
        <f t="shared" si="23"/>
        <v>36900900</v>
      </c>
      <c r="AA56" s="77"/>
      <c r="AB56" s="302"/>
      <c r="AC56" s="303"/>
      <c r="AD56" s="303"/>
      <c r="AE56" s="303"/>
      <c r="AF56" s="35"/>
      <c r="AG56" s="35"/>
      <c r="AH56" s="35"/>
      <c r="AI56" s="35"/>
      <c r="AJ56" s="35"/>
      <c r="AK56" s="35"/>
      <c r="AL56" s="35"/>
      <c r="AM56" s="35"/>
    </row>
    <row r="57" spans="1:39" s="43" customFormat="1" ht="63.75" customHeight="1">
      <c r="A57" s="37">
        <v>5</v>
      </c>
      <c r="B57" s="80" t="s">
        <v>167</v>
      </c>
      <c r="C57" s="81">
        <v>71</v>
      </c>
      <c r="D57" s="81">
        <v>115</v>
      </c>
      <c r="E57" s="44">
        <v>198.6</v>
      </c>
      <c r="F57" s="82" t="s">
        <v>45</v>
      </c>
      <c r="G57" s="32" t="s">
        <v>32</v>
      </c>
      <c r="H57" s="32"/>
      <c r="I57" s="32">
        <v>198.6</v>
      </c>
      <c r="J57" s="32"/>
      <c r="K57" s="32"/>
      <c r="L57" s="33">
        <f t="shared" si="14"/>
        <v>198.6</v>
      </c>
      <c r="M57" s="78"/>
      <c r="N57" s="105">
        <v>60000</v>
      </c>
      <c r="O57" s="105">
        <f t="shared" si="15"/>
        <v>11916000</v>
      </c>
      <c r="P57" s="33" t="s">
        <v>30</v>
      </c>
      <c r="Q57" s="33">
        <f t="shared" si="16"/>
        <v>198.6</v>
      </c>
      <c r="R57" s="33" t="s">
        <v>38</v>
      </c>
      <c r="S57" s="105">
        <v>9500</v>
      </c>
      <c r="T57" s="105">
        <f t="shared" si="24"/>
        <v>1886700</v>
      </c>
      <c r="U57" s="105">
        <f t="shared" si="18"/>
        <v>1986000</v>
      </c>
      <c r="V57" s="105">
        <f t="shared" si="19"/>
        <v>35748000</v>
      </c>
      <c r="W57" s="105">
        <f t="shared" si="21"/>
        <v>0</v>
      </c>
      <c r="X57" s="34">
        <f t="shared" si="22"/>
        <v>0</v>
      </c>
      <c r="Y57" s="246">
        <f t="shared" si="20"/>
        <v>51536700</v>
      </c>
      <c r="Z57" s="111">
        <f t="shared" si="23"/>
        <v>51536700</v>
      </c>
      <c r="AA57" s="77"/>
      <c r="AB57" s="302"/>
      <c r="AC57" s="303"/>
      <c r="AD57" s="303"/>
      <c r="AE57" s="303"/>
      <c r="AF57" s="35"/>
      <c r="AG57" s="35"/>
      <c r="AH57" s="35"/>
      <c r="AI57" s="35"/>
      <c r="AJ57" s="35"/>
      <c r="AK57" s="35"/>
      <c r="AL57" s="35"/>
      <c r="AM57" s="35"/>
    </row>
    <row r="58" spans="1:39" s="43" customFormat="1" ht="63.75" customHeight="1">
      <c r="A58" s="37">
        <v>5</v>
      </c>
      <c r="B58" s="80" t="s">
        <v>167</v>
      </c>
      <c r="C58" s="81">
        <v>71</v>
      </c>
      <c r="D58" s="81">
        <v>50</v>
      </c>
      <c r="E58" s="44">
        <v>339.5</v>
      </c>
      <c r="F58" s="82" t="s">
        <v>0</v>
      </c>
      <c r="G58" s="76" t="s">
        <v>32</v>
      </c>
      <c r="H58" s="32"/>
      <c r="I58" s="32">
        <v>339.5</v>
      </c>
      <c r="J58" s="32"/>
      <c r="K58" s="32"/>
      <c r="L58" s="33">
        <f t="shared" si="14"/>
        <v>339.5</v>
      </c>
      <c r="M58" s="78"/>
      <c r="N58" s="105">
        <v>60000</v>
      </c>
      <c r="O58" s="105">
        <f t="shared" si="15"/>
        <v>20370000</v>
      </c>
      <c r="P58" s="33" t="s">
        <v>30</v>
      </c>
      <c r="Q58" s="33">
        <f t="shared" si="16"/>
        <v>339.5</v>
      </c>
      <c r="R58" s="33" t="s">
        <v>38</v>
      </c>
      <c r="S58" s="105">
        <v>9500</v>
      </c>
      <c r="T58" s="105">
        <f t="shared" si="24"/>
        <v>3225250</v>
      </c>
      <c r="U58" s="105">
        <f t="shared" si="18"/>
        <v>3395000</v>
      </c>
      <c r="V58" s="105">
        <f t="shared" si="19"/>
        <v>61110000</v>
      </c>
      <c r="W58" s="105">
        <f t="shared" si="21"/>
        <v>0</v>
      </c>
      <c r="X58" s="34">
        <f t="shared" si="22"/>
        <v>0</v>
      </c>
      <c r="Y58" s="246">
        <f t="shared" si="20"/>
        <v>88100250</v>
      </c>
      <c r="Z58" s="111">
        <f t="shared" si="23"/>
        <v>88100250</v>
      </c>
      <c r="AA58" s="77"/>
      <c r="AB58" s="302"/>
      <c r="AC58" s="303"/>
      <c r="AD58" s="303"/>
      <c r="AE58" s="303"/>
      <c r="AF58" s="35"/>
      <c r="AG58" s="35"/>
      <c r="AH58" s="35"/>
      <c r="AI58" s="35"/>
      <c r="AJ58" s="35"/>
      <c r="AK58" s="35"/>
      <c r="AL58" s="35"/>
      <c r="AM58" s="35"/>
    </row>
    <row r="59" spans="1:39" s="43" customFormat="1" ht="63.75" customHeight="1">
      <c r="A59" s="37">
        <v>5</v>
      </c>
      <c r="B59" s="80" t="s">
        <v>167</v>
      </c>
      <c r="C59" s="37">
        <v>71</v>
      </c>
      <c r="D59" s="37">
        <v>37</v>
      </c>
      <c r="E59" s="44">
        <v>58.3</v>
      </c>
      <c r="F59" s="82" t="s">
        <v>0</v>
      </c>
      <c r="G59" s="32" t="s">
        <v>32</v>
      </c>
      <c r="H59" s="32"/>
      <c r="I59" s="32">
        <v>58.3</v>
      </c>
      <c r="J59" s="32"/>
      <c r="K59" s="32"/>
      <c r="L59" s="33">
        <f t="shared" si="14"/>
        <v>58.3</v>
      </c>
      <c r="M59" s="78"/>
      <c r="N59" s="105">
        <v>60000</v>
      </c>
      <c r="O59" s="105">
        <f t="shared" si="15"/>
        <v>3498000</v>
      </c>
      <c r="P59" s="33" t="s">
        <v>30</v>
      </c>
      <c r="Q59" s="33">
        <f t="shared" si="16"/>
        <v>58.3</v>
      </c>
      <c r="R59" s="33" t="s">
        <v>38</v>
      </c>
      <c r="S59" s="105">
        <v>9500</v>
      </c>
      <c r="T59" s="105">
        <f t="shared" si="24"/>
        <v>553850</v>
      </c>
      <c r="U59" s="105">
        <f t="shared" si="18"/>
        <v>583000</v>
      </c>
      <c r="V59" s="105">
        <f t="shared" si="19"/>
        <v>10494000</v>
      </c>
      <c r="W59" s="105">
        <f t="shared" si="21"/>
        <v>0</v>
      </c>
      <c r="X59" s="34">
        <f t="shared" si="22"/>
        <v>0</v>
      </c>
      <c r="Y59" s="246">
        <f t="shared" si="20"/>
        <v>15128850</v>
      </c>
      <c r="Z59" s="111">
        <f t="shared" si="23"/>
        <v>15128850</v>
      </c>
      <c r="AA59" s="77"/>
      <c r="AB59" s="302"/>
      <c r="AC59" s="303"/>
      <c r="AD59" s="303"/>
      <c r="AE59" s="303"/>
      <c r="AF59" s="35"/>
      <c r="AG59" s="35"/>
      <c r="AH59" s="35"/>
      <c r="AI59" s="35"/>
      <c r="AJ59" s="35"/>
      <c r="AK59" s="35"/>
      <c r="AL59" s="35"/>
      <c r="AM59" s="35"/>
    </row>
    <row r="60" spans="1:39" s="43" customFormat="1" ht="62.25" customHeight="1">
      <c r="A60" s="37">
        <v>5</v>
      </c>
      <c r="B60" s="80" t="s">
        <v>167</v>
      </c>
      <c r="C60" s="37">
        <v>72</v>
      </c>
      <c r="D60" s="37">
        <v>57</v>
      </c>
      <c r="E60" s="44">
        <v>42.4</v>
      </c>
      <c r="F60" s="82" t="s">
        <v>45</v>
      </c>
      <c r="G60" s="32" t="s">
        <v>76</v>
      </c>
      <c r="H60" s="32"/>
      <c r="I60" s="32">
        <v>42.4</v>
      </c>
      <c r="J60" s="32"/>
      <c r="K60" s="32"/>
      <c r="L60" s="33">
        <f t="shared" si="14"/>
        <v>42.4</v>
      </c>
      <c r="M60" s="73"/>
      <c r="N60" s="105">
        <v>60000</v>
      </c>
      <c r="O60" s="105">
        <f>L60*N60</f>
        <v>2544000</v>
      </c>
      <c r="P60" s="33" t="s">
        <v>30</v>
      </c>
      <c r="Q60" s="33">
        <f>L60</f>
        <v>42.4</v>
      </c>
      <c r="R60" s="33" t="s">
        <v>38</v>
      </c>
      <c r="S60" s="105">
        <v>9500</v>
      </c>
      <c r="T60" s="105">
        <f>Q60*S60</f>
        <v>402800</v>
      </c>
      <c r="U60" s="105">
        <f>L60*10000</f>
        <v>424000</v>
      </c>
      <c r="V60" s="105">
        <f>L60*N60*3</f>
        <v>7632000</v>
      </c>
      <c r="W60" s="105">
        <f t="shared" si="21"/>
        <v>0</v>
      </c>
      <c r="X60" s="34">
        <f t="shared" si="22"/>
        <v>0</v>
      </c>
      <c r="Y60" s="246">
        <f t="shared" si="20"/>
        <v>11002800</v>
      </c>
      <c r="Z60" s="111">
        <f>Y60</f>
        <v>11002800</v>
      </c>
      <c r="AA60" s="77"/>
      <c r="AB60" s="302"/>
      <c r="AC60" s="303"/>
      <c r="AD60" s="303"/>
      <c r="AE60" s="303"/>
      <c r="AF60" s="35"/>
      <c r="AG60" s="35"/>
      <c r="AH60" s="35"/>
      <c r="AI60" s="35"/>
      <c r="AJ60" s="35"/>
      <c r="AK60" s="35"/>
      <c r="AL60" s="35"/>
      <c r="AM60" s="35"/>
    </row>
    <row r="61" spans="1:39" s="43" customFormat="1" ht="63.75" customHeight="1">
      <c r="A61" s="37">
        <v>6</v>
      </c>
      <c r="B61" s="71" t="s">
        <v>168</v>
      </c>
      <c r="C61" s="81">
        <v>82</v>
      </c>
      <c r="D61" s="81">
        <v>119</v>
      </c>
      <c r="E61" s="44">
        <v>111.9</v>
      </c>
      <c r="F61" s="82" t="s">
        <v>0</v>
      </c>
      <c r="G61" s="32" t="s">
        <v>54</v>
      </c>
      <c r="H61" s="109">
        <v>110.30000000000001</v>
      </c>
      <c r="I61" s="32">
        <v>1.6</v>
      </c>
      <c r="J61" s="32"/>
      <c r="K61" s="32"/>
      <c r="L61" s="33">
        <f t="shared" si="14"/>
        <v>111.9</v>
      </c>
      <c r="M61" s="83">
        <f>L61+L62</f>
        <v>234.9</v>
      </c>
      <c r="N61" s="105">
        <v>60000</v>
      </c>
      <c r="O61" s="105">
        <f t="shared" si="15"/>
        <v>6714000</v>
      </c>
      <c r="P61" s="33" t="s">
        <v>30</v>
      </c>
      <c r="Q61" s="33">
        <f t="shared" si="16"/>
        <v>111.9</v>
      </c>
      <c r="R61" s="33" t="s">
        <v>38</v>
      </c>
      <c r="S61" s="105">
        <v>9500</v>
      </c>
      <c r="T61" s="105">
        <f t="shared" si="24"/>
        <v>1063050</v>
      </c>
      <c r="U61" s="105">
        <f t="shared" si="18"/>
        <v>1119000</v>
      </c>
      <c r="V61" s="105">
        <f t="shared" si="19"/>
        <v>20142000</v>
      </c>
      <c r="W61" s="105">
        <f t="shared" si="21"/>
        <v>1</v>
      </c>
      <c r="X61" s="34">
        <f t="shared" si="22"/>
        <v>3500000</v>
      </c>
      <c r="Y61" s="246">
        <f t="shared" si="20"/>
        <v>32538050</v>
      </c>
      <c r="Z61" s="111">
        <f t="shared" si="23"/>
        <v>32538050</v>
      </c>
      <c r="AA61" s="77"/>
      <c r="AB61" s="302"/>
      <c r="AC61" s="303"/>
      <c r="AD61" s="303"/>
      <c r="AE61" s="303"/>
      <c r="AF61" s="35"/>
      <c r="AG61" s="35"/>
      <c r="AH61" s="35"/>
      <c r="AI61" s="35"/>
      <c r="AJ61" s="35"/>
      <c r="AK61" s="35"/>
      <c r="AL61" s="35"/>
      <c r="AM61" s="35"/>
    </row>
    <row r="62" spans="1:39" s="43" customFormat="1" ht="63.75" customHeight="1">
      <c r="A62" s="37">
        <v>6</v>
      </c>
      <c r="B62" s="71" t="s">
        <v>168</v>
      </c>
      <c r="C62" s="37">
        <v>82</v>
      </c>
      <c r="D62" s="37">
        <v>5</v>
      </c>
      <c r="E62" s="37">
        <v>123</v>
      </c>
      <c r="F62" s="82" t="s">
        <v>0</v>
      </c>
      <c r="G62" s="30" t="s">
        <v>44</v>
      </c>
      <c r="H62" s="109">
        <v>123</v>
      </c>
      <c r="I62" s="32"/>
      <c r="J62" s="32"/>
      <c r="K62" s="32"/>
      <c r="L62" s="33">
        <f t="shared" si="14"/>
        <v>123</v>
      </c>
      <c r="M62" s="85"/>
      <c r="N62" s="105">
        <v>60000</v>
      </c>
      <c r="O62" s="105">
        <f t="shared" si="15"/>
        <v>7380000</v>
      </c>
      <c r="P62" s="33" t="s">
        <v>30</v>
      </c>
      <c r="Q62" s="33">
        <f t="shared" si="16"/>
        <v>123</v>
      </c>
      <c r="R62" s="33" t="s">
        <v>38</v>
      </c>
      <c r="S62" s="105">
        <v>9500</v>
      </c>
      <c r="T62" s="105">
        <f t="shared" si="24"/>
        <v>1168500</v>
      </c>
      <c r="U62" s="105">
        <f t="shared" si="18"/>
        <v>1230000</v>
      </c>
      <c r="V62" s="105">
        <f t="shared" si="19"/>
        <v>22140000</v>
      </c>
      <c r="W62" s="105">
        <f t="shared" si="21"/>
        <v>0</v>
      </c>
      <c r="X62" s="34">
        <f t="shared" si="22"/>
        <v>0</v>
      </c>
      <c r="Y62" s="246">
        <f t="shared" si="20"/>
        <v>31918500</v>
      </c>
      <c r="Z62" s="111">
        <f t="shared" si="23"/>
        <v>31918500</v>
      </c>
      <c r="AA62" s="77"/>
      <c r="AB62" s="302"/>
      <c r="AC62" s="303"/>
      <c r="AD62" s="303"/>
      <c r="AE62" s="303"/>
      <c r="AF62" s="35"/>
      <c r="AG62" s="35"/>
      <c r="AH62" s="35"/>
      <c r="AI62" s="35"/>
      <c r="AJ62" s="35"/>
      <c r="AK62" s="35"/>
      <c r="AL62" s="35"/>
      <c r="AM62" s="35"/>
    </row>
    <row r="63" spans="1:39" s="43" customFormat="1" ht="63.75" customHeight="1">
      <c r="A63" s="37">
        <v>7</v>
      </c>
      <c r="B63" s="118" t="s">
        <v>169</v>
      </c>
      <c r="C63" s="37">
        <v>72</v>
      </c>
      <c r="D63" s="37">
        <v>102</v>
      </c>
      <c r="E63" s="37">
        <v>135.1</v>
      </c>
      <c r="F63" s="37" t="s">
        <v>45</v>
      </c>
      <c r="G63" s="32" t="s">
        <v>44</v>
      </c>
      <c r="H63" s="109"/>
      <c r="I63" s="32">
        <f>K63</f>
        <v>135.1</v>
      </c>
      <c r="J63" s="32"/>
      <c r="K63" s="109">
        <f>135.1</f>
        <v>135.1</v>
      </c>
      <c r="L63" s="33">
        <f t="shared" si="14"/>
        <v>270.2</v>
      </c>
      <c r="M63" s="44">
        <f>L63</f>
        <v>270.2</v>
      </c>
      <c r="N63" s="105">
        <v>60000</v>
      </c>
      <c r="O63" s="105">
        <f t="shared" si="15"/>
        <v>16212000</v>
      </c>
      <c r="P63" s="33" t="s">
        <v>30</v>
      </c>
      <c r="Q63" s="33">
        <f t="shared" si="16"/>
        <v>270.2</v>
      </c>
      <c r="R63" s="33" t="s">
        <v>38</v>
      </c>
      <c r="S63" s="105">
        <v>9500</v>
      </c>
      <c r="T63" s="105">
        <f t="shared" si="24"/>
        <v>2566900</v>
      </c>
      <c r="U63" s="105">
        <f t="shared" si="18"/>
        <v>2702000</v>
      </c>
      <c r="V63" s="105">
        <f t="shared" si="19"/>
        <v>48636000</v>
      </c>
      <c r="W63" s="105">
        <f t="shared" si="21"/>
        <v>1</v>
      </c>
      <c r="X63" s="34">
        <f t="shared" si="22"/>
        <v>3500000</v>
      </c>
      <c r="Y63" s="246">
        <f t="shared" si="20"/>
        <v>73616900</v>
      </c>
      <c r="Z63" s="111">
        <f t="shared" si="23"/>
        <v>73616900</v>
      </c>
      <c r="AA63" s="77"/>
      <c r="AB63" s="302"/>
      <c r="AC63" s="303"/>
      <c r="AD63" s="303"/>
      <c r="AE63" s="303"/>
      <c r="AF63" s="35"/>
      <c r="AG63" s="35"/>
      <c r="AH63" s="35"/>
      <c r="AI63" s="35"/>
      <c r="AJ63" s="35"/>
      <c r="AK63" s="35"/>
      <c r="AL63" s="35"/>
      <c r="AM63" s="35"/>
    </row>
    <row r="64" spans="1:39" s="43" customFormat="1" ht="63.75" customHeight="1">
      <c r="A64" s="37">
        <v>8</v>
      </c>
      <c r="B64" s="75" t="s">
        <v>170</v>
      </c>
      <c r="C64" s="37">
        <v>72</v>
      </c>
      <c r="D64" s="37">
        <v>161</v>
      </c>
      <c r="E64" s="37">
        <v>140.2</v>
      </c>
      <c r="F64" s="37" t="s">
        <v>45</v>
      </c>
      <c r="G64" s="32" t="s">
        <v>44</v>
      </c>
      <c r="H64" s="109">
        <f>E64</f>
        <v>140.2</v>
      </c>
      <c r="I64" s="109"/>
      <c r="J64" s="109"/>
      <c r="K64" s="32"/>
      <c r="L64" s="33">
        <f t="shared" si="14"/>
        <v>140.2</v>
      </c>
      <c r="M64" s="86">
        <f>L64+L65</f>
        <v>448.4</v>
      </c>
      <c r="N64" s="105">
        <v>60000</v>
      </c>
      <c r="O64" s="105">
        <f t="shared" si="15"/>
        <v>8412000</v>
      </c>
      <c r="P64" s="33" t="s">
        <v>30</v>
      </c>
      <c r="Q64" s="33">
        <f t="shared" si="16"/>
        <v>140.2</v>
      </c>
      <c r="R64" s="33" t="s">
        <v>38</v>
      </c>
      <c r="S64" s="105">
        <v>9500</v>
      </c>
      <c r="T64" s="105">
        <f t="shared" si="24"/>
        <v>1331900</v>
      </c>
      <c r="U64" s="105">
        <f t="shared" si="18"/>
        <v>1402000</v>
      </c>
      <c r="V64" s="105">
        <f t="shared" si="19"/>
        <v>25236000</v>
      </c>
      <c r="W64" s="105">
        <f t="shared" si="21"/>
        <v>2</v>
      </c>
      <c r="X64" s="34">
        <f t="shared" si="22"/>
        <v>7000000</v>
      </c>
      <c r="Y64" s="246">
        <f t="shared" si="20"/>
        <v>43381900</v>
      </c>
      <c r="Z64" s="289">
        <f>Y64+Y65</f>
        <v>123359800</v>
      </c>
      <c r="AA64" s="77"/>
      <c r="AB64" s="302"/>
      <c r="AC64" s="314" t="s">
        <v>86</v>
      </c>
      <c r="AD64" s="303"/>
      <c r="AE64" s="303"/>
      <c r="AF64" s="35"/>
      <c r="AG64" s="35"/>
      <c r="AH64" s="35"/>
      <c r="AI64" s="35"/>
      <c r="AJ64" s="35"/>
      <c r="AK64" s="35"/>
      <c r="AL64" s="35"/>
      <c r="AM64" s="35"/>
    </row>
    <row r="65" spans="1:39" s="43" customFormat="1" ht="63.75" customHeight="1">
      <c r="A65" s="37">
        <v>8</v>
      </c>
      <c r="B65" s="75" t="s">
        <v>170</v>
      </c>
      <c r="C65" s="37">
        <v>82</v>
      </c>
      <c r="D65" s="37">
        <v>88</v>
      </c>
      <c r="E65" s="37">
        <v>308.2</v>
      </c>
      <c r="F65" s="37" t="s">
        <v>0</v>
      </c>
      <c r="G65" s="30" t="s">
        <v>32</v>
      </c>
      <c r="H65" s="109">
        <v>292.5</v>
      </c>
      <c r="I65" s="32"/>
      <c r="J65" s="32">
        <v>15.7</v>
      </c>
      <c r="K65" s="32"/>
      <c r="L65" s="33">
        <f t="shared" si="14"/>
        <v>308.2</v>
      </c>
      <c r="M65" s="87"/>
      <c r="N65" s="105">
        <v>60000</v>
      </c>
      <c r="O65" s="105">
        <f t="shared" si="15"/>
        <v>18492000</v>
      </c>
      <c r="P65" s="33" t="s">
        <v>30</v>
      </c>
      <c r="Q65" s="33">
        <f t="shared" si="16"/>
        <v>308.2</v>
      </c>
      <c r="R65" s="33" t="s">
        <v>38</v>
      </c>
      <c r="S65" s="105">
        <v>9500</v>
      </c>
      <c r="T65" s="105">
        <f>Q65*S65</f>
        <v>2927900</v>
      </c>
      <c r="U65" s="105">
        <f t="shared" si="18"/>
        <v>3082000</v>
      </c>
      <c r="V65" s="105">
        <f t="shared" si="19"/>
        <v>55476000</v>
      </c>
      <c r="W65" s="105">
        <f t="shared" si="21"/>
        <v>0</v>
      </c>
      <c r="X65" s="34">
        <f t="shared" si="22"/>
        <v>0</v>
      </c>
      <c r="Y65" s="246">
        <f t="shared" si="20"/>
        <v>79977900</v>
      </c>
      <c r="Z65" s="292"/>
      <c r="AA65" s="77"/>
      <c r="AB65" s="314"/>
      <c r="AC65" s="314"/>
      <c r="AD65" s="303"/>
      <c r="AE65" s="314" t="s">
        <v>86</v>
      </c>
      <c r="AF65" s="35"/>
      <c r="AG65" s="35"/>
      <c r="AH65" s="35"/>
      <c r="AI65" s="35"/>
      <c r="AJ65" s="35"/>
      <c r="AK65" s="35"/>
      <c r="AL65" s="35"/>
      <c r="AM65" s="35"/>
    </row>
    <row r="66" spans="1:39" s="43" customFormat="1" ht="63.75" customHeight="1">
      <c r="A66" s="37">
        <v>9</v>
      </c>
      <c r="B66" s="71" t="s">
        <v>171</v>
      </c>
      <c r="C66" s="37">
        <v>72</v>
      </c>
      <c r="D66" s="37">
        <v>258</v>
      </c>
      <c r="E66" s="37">
        <v>256.2</v>
      </c>
      <c r="F66" s="37" t="s">
        <v>0</v>
      </c>
      <c r="G66" s="30" t="s">
        <v>32</v>
      </c>
      <c r="H66" s="109">
        <f>E66</f>
        <v>256.2</v>
      </c>
      <c r="I66" s="109"/>
      <c r="J66" s="109"/>
      <c r="K66" s="32"/>
      <c r="L66" s="33">
        <f t="shared" si="14"/>
        <v>256.2</v>
      </c>
      <c r="M66" s="66">
        <f>L66+L67+L68</f>
        <v>775.9</v>
      </c>
      <c r="N66" s="105">
        <v>60000</v>
      </c>
      <c r="O66" s="105">
        <f t="shared" si="15"/>
        <v>15372000</v>
      </c>
      <c r="P66" s="33" t="s">
        <v>30</v>
      </c>
      <c r="Q66" s="33">
        <f t="shared" si="16"/>
        <v>256.2</v>
      </c>
      <c r="R66" s="33" t="s">
        <v>38</v>
      </c>
      <c r="S66" s="105">
        <v>9500</v>
      </c>
      <c r="T66" s="105">
        <f t="shared" si="24"/>
        <v>2433900</v>
      </c>
      <c r="U66" s="105">
        <f t="shared" si="18"/>
        <v>2562000</v>
      </c>
      <c r="V66" s="105">
        <f t="shared" si="19"/>
        <v>46116000</v>
      </c>
      <c r="W66" s="105">
        <f t="shared" si="21"/>
        <v>4</v>
      </c>
      <c r="X66" s="34">
        <f t="shared" si="22"/>
        <v>14000000</v>
      </c>
      <c r="Y66" s="246">
        <f t="shared" si="20"/>
        <v>80483900</v>
      </c>
      <c r="Z66" s="111">
        <f t="shared" si="23"/>
        <v>80483900</v>
      </c>
      <c r="AA66" s="88"/>
      <c r="AB66" s="302" t="s">
        <v>53</v>
      </c>
      <c r="AC66" s="303"/>
      <c r="AD66" s="303"/>
      <c r="AE66" s="303"/>
      <c r="AF66" s="35"/>
      <c r="AG66" s="35"/>
      <c r="AH66" s="35"/>
      <c r="AI66" s="35"/>
      <c r="AJ66" s="35"/>
      <c r="AK66" s="35"/>
      <c r="AL66" s="35"/>
      <c r="AM66" s="35"/>
    </row>
    <row r="67" spans="1:39" s="307" customFormat="1" ht="63.75" customHeight="1">
      <c r="A67" s="37">
        <v>9</v>
      </c>
      <c r="B67" s="71" t="s">
        <v>171</v>
      </c>
      <c r="C67" s="37">
        <v>81</v>
      </c>
      <c r="D67" s="37">
        <v>68</v>
      </c>
      <c r="E67" s="37">
        <v>65.2</v>
      </c>
      <c r="F67" s="37" t="s">
        <v>0</v>
      </c>
      <c r="G67" s="30" t="s">
        <v>37</v>
      </c>
      <c r="H67" s="109">
        <f>E67</f>
        <v>65.2</v>
      </c>
      <c r="I67" s="109"/>
      <c r="J67" s="109"/>
      <c r="K67" s="32"/>
      <c r="L67" s="33">
        <f t="shared" si="14"/>
        <v>65.2</v>
      </c>
      <c r="M67" s="89"/>
      <c r="N67" s="105">
        <v>60000</v>
      </c>
      <c r="O67" s="105">
        <f t="shared" si="15"/>
        <v>3912000</v>
      </c>
      <c r="P67" s="33" t="s">
        <v>30</v>
      </c>
      <c r="Q67" s="33">
        <f t="shared" si="16"/>
        <v>65.2</v>
      </c>
      <c r="R67" s="33" t="s">
        <v>38</v>
      </c>
      <c r="S67" s="105">
        <v>9500</v>
      </c>
      <c r="T67" s="105">
        <f t="shared" si="24"/>
        <v>619400</v>
      </c>
      <c r="U67" s="105">
        <f t="shared" si="18"/>
        <v>652000</v>
      </c>
      <c r="V67" s="105">
        <f t="shared" si="19"/>
        <v>11736000</v>
      </c>
      <c r="W67" s="105">
        <f t="shared" si="21"/>
        <v>0</v>
      </c>
      <c r="X67" s="34">
        <f t="shared" si="22"/>
        <v>0</v>
      </c>
      <c r="Y67" s="246">
        <f t="shared" si="20"/>
        <v>16919400</v>
      </c>
      <c r="Z67" s="111">
        <f t="shared" si="23"/>
        <v>16919400</v>
      </c>
      <c r="AA67" s="37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</row>
    <row r="68" spans="1:39" s="307" customFormat="1" ht="63.75" customHeight="1">
      <c r="A68" s="37">
        <v>9</v>
      </c>
      <c r="B68" s="71" t="s">
        <v>171</v>
      </c>
      <c r="C68" s="37">
        <v>82</v>
      </c>
      <c r="D68" s="37">
        <v>124</v>
      </c>
      <c r="E68" s="37">
        <v>454.5</v>
      </c>
      <c r="F68" s="37" t="s">
        <v>0</v>
      </c>
      <c r="G68" s="30" t="s">
        <v>54</v>
      </c>
      <c r="H68" s="109">
        <f>E68</f>
        <v>454.5</v>
      </c>
      <c r="I68" s="109"/>
      <c r="J68" s="109"/>
      <c r="K68" s="32"/>
      <c r="L68" s="33">
        <f t="shared" si="14"/>
        <v>454.5</v>
      </c>
      <c r="M68" s="74"/>
      <c r="N68" s="105">
        <v>60000</v>
      </c>
      <c r="O68" s="105">
        <f t="shared" si="15"/>
        <v>27270000</v>
      </c>
      <c r="P68" s="33" t="s">
        <v>30</v>
      </c>
      <c r="Q68" s="33">
        <f t="shared" si="16"/>
        <v>454.5</v>
      </c>
      <c r="R68" s="33" t="s">
        <v>38</v>
      </c>
      <c r="S68" s="105">
        <v>9500</v>
      </c>
      <c r="T68" s="105">
        <f t="shared" si="24"/>
        <v>4317750</v>
      </c>
      <c r="U68" s="105">
        <f t="shared" si="18"/>
        <v>4545000</v>
      </c>
      <c r="V68" s="105">
        <f t="shared" si="19"/>
        <v>81810000</v>
      </c>
      <c r="W68" s="105">
        <f t="shared" si="21"/>
        <v>0</v>
      </c>
      <c r="X68" s="34">
        <f t="shared" si="22"/>
        <v>0</v>
      </c>
      <c r="Y68" s="246">
        <f t="shared" si="20"/>
        <v>117942750</v>
      </c>
      <c r="Z68" s="111">
        <f t="shared" si="23"/>
        <v>117942750</v>
      </c>
      <c r="AA68" s="37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3"/>
    </row>
    <row r="69" spans="1:39" s="43" customFormat="1" ht="63.75" customHeight="1">
      <c r="A69" s="37">
        <v>10</v>
      </c>
      <c r="B69" s="75" t="s">
        <v>172</v>
      </c>
      <c r="C69" s="37">
        <v>72</v>
      </c>
      <c r="D69" s="37">
        <v>7</v>
      </c>
      <c r="E69" s="37">
        <v>99.8</v>
      </c>
      <c r="F69" s="37" t="s">
        <v>45</v>
      </c>
      <c r="G69" s="32" t="s">
        <v>43</v>
      </c>
      <c r="H69" s="109"/>
      <c r="I69" s="32">
        <f>E69</f>
        <v>99.8</v>
      </c>
      <c r="J69" s="32"/>
      <c r="K69" s="32"/>
      <c r="L69" s="33">
        <f t="shared" si="14"/>
        <v>99.8</v>
      </c>
      <c r="M69" s="45">
        <f>L69+L70</f>
        <v>197.7</v>
      </c>
      <c r="N69" s="105">
        <v>60000</v>
      </c>
      <c r="O69" s="105">
        <f t="shared" si="15"/>
        <v>5988000</v>
      </c>
      <c r="P69" s="33" t="s">
        <v>30</v>
      </c>
      <c r="Q69" s="33">
        <f t="shared" si="16"/>
        <v>99.8</v>
      </c>
      <c r="R69" s="33" t="s">
        <v>38</v>
      </c>
      <c r="S69" s="105">
        <v>9500</v>
      </c>
      <c r="T69" s="105">
        <f t="shared" si="24"/>
        <v>948100</v>
      </c>
      <c r="U69" s="105">
        <f t="shared" si="18"/>
        <v>998000</v>
      </c>
      <c r="V69" s="105">
        <f t="shared" si="19"/>
        <v>17964000</v>
      </c>
      <c r="W69" s="105">
        <f t="shared" si="21"/>
        <v>1</v>
      </c>
      <c r="X69" s="34">
        <f t="shared" si="22"/>
        <v>3500000</v>
      </c>
      <c r="Y69" s="246">
        <f t="shared" si="20"/>
        <v>29398100</v>
      </c>
      <c r="Z69" s="111">
        <f t="shared" si="23"/>
        <v>29398100</v>
      </c>
      <c r="AA69" s="88"/>
      <c r="AB69" s="302"/>
      <c r="AC69" s="303"/>
      <c r="AD69" s="303"/>
      <c r="AE69" s="303"/>
      <c r="AF69" s="35"/>
      <c r="AG69" s="35"/>
      <c r="AH69" s="35"/>
      <c r="AI69" s="35"/>
      <c r="AJ69" s="35"/>
      <c r="AK69" s="35"/>
      <c r="AL69" s="35"/>
      <c r="AM69" s="35"/>
    </row>
    <row r="70" spans="1:39" s="43" customFormat="1" ht="63.75" customHeight="1">
      <c r="A70" s="37">
        <v>10</v>
      </c>
      <c r="B70" s="75" t="s">
        <v>172</v>
      </c>
      <c r="C70" s="37">
        <v>72</v>
      </c>
      <c r="D70" s="37">
        <v>93</v>
      </c>
      <c r="E70" s="37">
        <v>97.9</v>
      </c>
      <c r="F70" s="37" t="s">
        <v>45</v>
      </c>
      <c r="G70" s="76" t="s">
        <v>44</v>
      </c>
      <c r="H70" s="109"/>
      <c r="I70" s="32">
        <f>E70</f>
        <v>97.9</v>
      </c>
      <c r="J70" s="32"/>
      <c r="K70" s="32"/>
      <c r="L70" s="33">
        <f t="shared" si="14"/>
        <v>97.9</v>
      </c>
      <c r="M70" s="245"/>
      <c r="N70" s="105">
        <v>60000</v>
      </c>
      <c r="O70" s="105">
        <f aca="true" t="shared" si="25" ref="O70:O85">L70*N70</f>
        <v>5874000</v>
      </c>
      <c r="P70" s="33" t="s">
        <v>30</v>
      </c>
      <c r="Q70" s="33">
        <f aca="true" t="shared" si="26" ref="Q70:Q85">L70</f>
        <v>97.9</v>
      </c>
      <c r="R70" s="33" t="s">
        <v>38</v>
      </c>
      <c r="S70" s="105">
        <v>9500</v>
      </c>
      <c r="T70" s="105">
        <f t="shared" si="24"/>
        <v>930050</v>
      </c>
      <c r="U70" s="105">
        <f aca="true" t="shared" si="27" ref="U70:U85">L70*10000</f>
        <v>979000</v>
      </c>
      <c r="V70" s="105">
        <f aca="true" t="shared" si="28" ref="V70:V85">L70*N70*3</f>
        <v>17622000</v>
      </c>
      <c r="W70" s="105">
        <f t="shared" si="21"/>
        <v>0</v>
      </c>
      <c r="X70" s="34">
        <f t="shared" si="22"/>
        <v>0</v>
      </c>
      <c r="Y70" s="246">
        <f t="shared" si="20"/>
        <v>25405050</v>
      </c>
      <c r="Z70" s="111">
        <f t="shared" si="23"/>
        <v>25405050</v>
      </c>
      <c r="AA70" s="37"/>
      <c r="AB70" s="302"/>
      <c r="AC70" s="303"/>
      <c r="AD70" s="303"/>
      <c r="AE70" s="303"/>
      <c r="AF70" s="35"/>
      <c r="AG70" s="35"/>
      <c r="AH70" s="35"/>
      <c r="AI70" s="35"/>
      <c r="AJ70" s="35"/>
      <c r="AK70" s="35"/>
      <c r="AL70" s="35"/>
      <c r="AM70" s="35"/>
    </row>
    <row r="71" spans="1:39" s="43" customFormat="1" ht="63.75" customHeight="1">
      <c r="A71" s="37">
        <v>11</v>
      </c>
      <c r="B71" s="75" t="s">
        <v>173</v>
      </c>
      <c r="C71" s="37">
        <v>72</v>
      </c>
      <c r="D71" s="37">
        <v>110</v>
      </c>
      <c r="E71" s="44">
        <v>96</v>
      </c>
      <c r="F71" s="37" t="s">
        <v>45</v>
      </c>
      <c r="G71" s="32" t="s">
        <v>44</v>
      </c>
      <c r="H71" s="109">
        <f>E71</f>
        <v>96</v>
      </c>
      <c r="I71" s="109"/>
      <c r="J71" s="109"/>
      <c r="K71" s="32"/>
      <c r="L71" s="33">
        <f t="shared" si="14"/>
        <v>96</v>
      </c>
      <c r="M71" s="83">
        <f>L71+L72</f>
        <v>309.6</v>
      </c>
      <c r="N71" s="105">
        <v>60000</v>
      </c>
      <c r="O71" s="105">
        <f t="shared" si="25"/>
        <v>5760000</v>
      </c>
      <c r="P71" s="33" t="s">
        <v>30</v>
      </c>
      <c r="Q71" s="33">
        <f t="shared" si="26"/>
        <v>96</v>
      </c>
      <c r="R71" s="33" t="s">
        <v>38</v>
      </c>
      <c r="S71" s="105">
        <v>9500</v>
      </c>
      <c r="T71" s="105">
        <f t="shared" si="24"/>
        <v>912000</v>
      </c>
      <c r="U71" s="105">
        <f t="shared" si="27"/>
        <v>960000</v>
      </c>
      <c r="V71" s="105">
        <f t="shared" si="28"/>
        <v>17280000</v>
      </c>
      <c r="W71" s="105">
        <f t="shared" si="21"/>
        <v>1</v>
      </c>
      <c r="X71" s="34">
        <f t="shared" si="22"/>
        <v>3500000</v>
      </c>
      <c r="Y71" s="246">
        <f t="shared" si="20"/>
        <v>28412000</v>
      </c>
      <c r="Z71" s="111">
        <f t="shared" si="23"/>
        <v>28412000</v>
      </c>
      <c r="AA71" s="37"/>
      <c r="AB71" s="302"/>
      <c r="AC71" s="303"/>
      <c r="AD71" s="303"/>
      <c r="AE71" s="303"/>
      <c r="AF71" s="35"/>
      <c r="AG71" s="35"/>
      <c r="AH71" s="35"/>
      <c r="AI71" s="35"/>
      <c r="AJ71" s="35"/>
      <c r="AK71" s="35"/>
      <c r="AL71" s="35"/>
      <c r="AM71" s="35"/>
    </row>
    <row r="72" spans="1:39" s="43" customFormat="1" ht="63.75" customHeight="1">
      <c r="A72" s="37">
        <v>11</v>
      </c>
      <c r="B72" s="75" t="s">
        <v>173</v>
      </c>
      <c r="C72" s="37">
        <v>72</v>
      </c>
      <c r="D72" s="37">
        <v>227</v>
      </c>
      <c r="E72" s="37">
        <v>213.6</v>
      </c>
      <c r="F72" s="37" t="s">
        <v>45</v>
      </c>
      <c r="G72" s="76" t="s">
        <v>44</v>
      </c>
      <c r="H72" s="37">
        <v>171.5</v>
      </c>
      <c r="I72" s="37">
        <f>E72-H72</f>
        <v>42.099999999999994</v>
      </c>
      <c r="J72" s="32"/>
      <c r="K72" s="32"/>
      <c r="L72" s="33">
        <f t="shared" si="14"/>
        <v>213.6</v>
      </c>
      <c r="M72" s="85"/>
      <c r="N72" s="105">
        <v>60000</v>
      </c>
      <c r="O72" s="105">
        <f t="shared" si="25"/>
        <v>12816000</v>
      </c>
      <c r="P72" s="33" t="s">
        <v>30</v>
      </c>
      <c r="Q72" s="33">
        <f t="shared" si="26"/>
        <v>213.6</v>
      </c>
      <c r="R72" s="33" t="s">
        <v>38</v>
      </c>
      <c r="S72" s="105">
        <v>9500</v>
      </c>
      <c r="T72" s="105">
        <f t="shared" si="24"/>
        <v>2029200</v>
      </c>
      <c r="U72" s="105">
        <f t="shared" si="27"/>
        <v>2136000</v>
      </c>
      <c r="V72" s="105">
        <f t="shared" si="28"/>
        <v>38448000</v>
      </c>
      <c r="W72" s="105">
        <f t="shared" si="21"/>
        <v>0</v>
      </c>
      <c r="X72" s="34">
        <f t="shared" si="22"/>
        <v>0</v>
      </c>
      <c r="Y72" s="246">
        <f t="shared" si="20"/>
        <v>55429200</v>
      </c>
      <c r="Z72" s="111">
        <f t="shared" si="23"/>
        <v>55429200</v>
      </c>
      <c r="AA72" s="37"/>
      <c r="AB72" s="302"/>
      <c r="AC72" s="303"/>
      <c r="AD72" s="303"/>
      <c r="AE72" s="303"/>
      <c r="AF72" s="35"/>
      <c r="AG72" s="35"/>
      <c r="AH72" s="35"/>
      <c r="AI72" s="35"/>
      <c r="AJ72" s="35"/>
      <c r="AK72" s="35"/>
      <c r="AL72" s="35"/>
      <c r="AM72" s="35"/>
    </row>
    <row r="73" spans="1:39" s="43" customFormat="1" ht="63.75" customHeight="1">
      <c r="A73" s="37">
        <v>12</v>
      </c>
      <c r="B73" s="75" t="s">
        <v>174</v>
      </c>
      <c r="C73" s="37">
        <v>72</v>
      </c>
      <c r="D73" s="37">
        <v>184</v>
      </c>
      <c r="E73" s="37">
        <v>122.8</v>
      </c>
      <c r="F73" s="37" t="s">
        <v>45</v>
      </c>
      <c r="G73" s="76" t="s">
        <v>44</v>
      </c>
      <c r="H73" s="109">
        <f>E73</f>
        <v>122.8</v>
      </c>
      <c r="I73" s="32"/>
      <c r="J73" s="32"/>
      <c r="K73" s="32"/>
      <c r="L73" s="33">
        <f t="shared" si="14"/>
        <v>122.8</v>
      </c>
      <c r="M73" s="72">
        <f>L73</f>
        <v>122.8</v>
      </c>
      <c r="N73" s="105">
        <v>60000</v>
      </c>
      <c r="O73" s="105">
        <f t="shared" si="25"/>
        <v>7368000</v>
      </c>
      <c r="P73" s="33" t="s">
        <v>30</v>
      </c>
      <c r="Q73" s="33">
        <f t="shared" si="26"/>
        <v>122.8</v>
      </c>
      <c r="R73" s="33" t="s">
        <v>38</v>
      </c>
      <c r="S73" s="105">
        <v>9500</v>
      </c>
      <c r="T73" s="105">
        <f t="shared" si="24"/>
        <v>1166600</v>
      </c>
      <c r="U73" s="105">
        <f t="shared" si="27"/>
        <v>1228000</v>
      </c>
      <c r="V73" s="105">
        <f t="shared" si="28"/>
        <v>22104000</v>
      </c>
      <c r="W73" s="105">
        <f t="shared" si="21"/>
        <v>0</v>
      </c>
      <c r="X73" s="34">
        <f t="shared" si="22"/>
        <v>0</v>
      </c>
      <c r="Y73" s="246">
        <f t="shared" si="20"/>
        <v>31866600</v>
      </c>
      <c r="Z73" s="111">
        <f t="shared" si="23"/>
        <v>31866600</v>
      </c>
      <c r="AA73" s="88"/>
      <c r="AB73" s="302"/>
      <c r="AC73" s="303"/>
      <c r="AD73" s="303"/>
      <c r="AE73" s="303"/>
      <c r="AF73" s="35"/>
      <c r="AG73" s="35"/>
      <c r="AH73" s="35"/>
      <c r="AI73" s="35"/>
      <c r="AJ73" s="35"/>
      <c r="AK73" s="35"/>
      <c r="AL73" s="35"/>
      <c r="AM73" s="35"/>
    </row>
    <row r="74" spans="1:39" s="43" customFormat="1" ht="63.75" customHeight="1">
      <c r="A74" s="37">
        <v>13</v>
      </c>
      <c r="B74" s="75" t="s">
        <v>175</v>
      </c>
      <c r="C74" s="37">
        <v>71</v>
      </c>
      <c r="D74" s="37">
        <v>7</v>
      </c>
      <c r="E74" s="37">
        <v>76.4</v>
      </c>
      <c r="F74" s="37" t="s">
        <v>45</v>
      </c>
      <c r="G74" s="76" t="s">
        <v>43</v>
      </c>
      <c r="H74" s="109">
        <f>E74</f>
        <v>76.4</v>
      </c>
      <c r="I74" s="32"/>
      <c r="J74" s="32"/>
      <c r="K74" s="32"/>
      <c r="L74" s="33">
        <f t="shared" si="14"/>
        <v>76.4</v>
      </c>
      <c r="M74" s="853">
        <f>SUM(L74:L77)</f>
        <v>555.8</v>
      </c>
      <c r="N74" s="105">
        <v>60000</v>
      </c>
      <c r="O74" s="105">
        <f t="shared" si="25"/>
        <v>4584000</v>
      </c>
      <c r="P74" s="33" t="s">
        <v>30</v>
      </c>
      <c r="Q74" s="33">
        <f t="shared" si="26"/>
        <v>76.4</v>
      </c>
      <c r="R74" s="33" t="s">
        <v>38</v>
      </c>
      <c r="S74" s="105">
        <v>9500</v>
      </c>
      <c r="T74" s="105">
        <f t="shared" si="24"/>
        <v>725800</v>
      </c>
      <c r="U74" s="105">
        <f t="shared" si="27"/>
        <v>764000</v>
      </c>
      <c r="V74" s="105">
        <f t="shared" si="28"/>
        <v>13752000</v>
      </c>
      <c r="W74" s="105">
        <f t="shared" si="21"/>
        <v>3</v>
      </c>
      <c r="X74" s="34">
        <f t="shared" si="22"/>
        <v>10500000</v>
      </c>
      <c r="Y74" s="246">
        <f t="shared" si="20"/>
        <v>30325800</v>
      </c>
      <c r="Z74" s="111">
        <f t="shared" si="23"/>
        <v>30325800</v>
      </c>
      <c r="AA74" s="88"/>
      <c r="AB74" s="302"/>
      <c r="AC74" s="303"/>
      <c r="AD74" s="303"/>
      <c r="AE74" s="303"/>
      <c r="AF74" s="35"/>
      <c r="AG74" s="35"/>
      <c r="AH74" s="35"/>
      <c r="AI74" s="35"/>
      <c r="AJ74" s="35"/>
      <c r="AK74" s="35"/>
      <c r="AL74" s="35"/>
      <c r="AM74" s="35"/>
    </row>
    <row r="75" spans="1:39" s="43" customFormat="1" ht="63.75" customHeight="1">
      <c r="A75" s="37">
        <v>13</v>
      </c>
      <c r="B75" s="75" t="s">
        <v>175</v>
      </c>
      <c r="C75" s="37">
        <v>72</v>
      </c>
      <c r="D75" s="37">
        <v>81</v>
      </c>
      <c r="E75" s="37">
        <v>113.3</v>
      </c>
      <c r="F75" s="37" t="s">
        <v>45</v>
      </c>
      <c r="G75" s="32" t="s">
        <v>44</v>
      </c>
      <c r="H75" s="109">
        <f>E75</f>
        <v>113.3</v>
      </c>
      <c r="I75" s="32"/>
      <c r="J75" s="32"/>
      <c r="K75" s="32"/>
      <c r="L75" s="33">
        <f t="shared" si="14"/>
        <v>113.3</v>
      </c>
      <c r="M75" s="864"/>
      <c r="N75" s="105">
        <v>60000</v>
      </c>
      <c r="O75" s="105">
        <f t="shared" si="25"/>
        <v>6798000</v>
      </c>
      <c r="P75" s="33" t="s">
        <v>30</v>
      </c>
      <c r="Q75" s="33">
        <f t="shared" si="26"/>
        <v>113.3</v>
      </c>
      <c r="R75" s="33" t="s">
        <v>38</v>
      </c>
      <c r="S75" s="105">
        <v>9500</v>
      </c>
      <c r="T75" s="105">
        <f t="shared" si="24"/>
        <v>1076350</v>
      </c>
      <c r="U75" s="105">
        <f t="shared" si="27"/>
        <v>1133000</v>
      </c>
      <c r="V75" s="105">
        <f t="shared" si="28"/>
        <v>20394000</v>
      </c>
      <c r="W75" s="105">
        <f t="shared" si="21"/>
        <v>0</v>
      </c>
      <c r="X75" s="34">
        <f t="shared" si="22"/>
        <v>0</v>
      </c>
      <c r="Y75" s="246">
        <f t="shared" si="20"/>
        <v>29401350</v>
      </c>
      <c r="Z75" s="111">
        <f t="shared" si="23"/>
        <v>29401350</v>
      </c>
      <c r="AA75" s="88"/>
      <c r="AB75" s="302"/>
      <c r="AC75" s="303"/>
      <c r="AD75" s="303"/>
      <c r="AE75" s="303"/>
      <c r="AF75" s="35"/>
      <c r="AG75" s="35"/>
      <c r="AH75" s="35"/>
      <c r="AI75" s="35"/>
      <c r="AJ75" s="35"/>
      <c r="AK75" s="35"/>
      <c r="AL75" s="35"/>
      <c r="AM75" s="35"/>
    </row>
    <row r="76" spans="1:39" s="43" customFormat="1" ht="63.75" customHeight="1">
      <c r="A76" s="37">
        <v>13</v>
      </c>
      <c r="B76" s="75" t="s">
        <v>175</v>
      </c>
      <c r="C76" s="37">
        <v>72</v>
      </c>
      <c r="D76" s="37">
        <v>177</v>
      </c>
      <c r="E76" s="37">
        <v>201.5</v>
      </c>
      <c r="F76" s="37" t="s">
        <v>45</v>
      </c>
      <c r="G76" s="76" t="s">
        <v>44</v>
      </c>
      <c r="H76" s="109">
        <f>E76</f>
        <v>201.5</v>
      </c>
      <c r="I76" s="32"/>
      <c r="J76" s="32"/>
      <c r="K76" s="32"/>
      <c r="L76" s="33">
        <f t="shared" si="14"/>
        <v>201.5</v>
      </c>
      <c r="M76" s="864"/>
      <c r="N76" s="105">
        <v>60000</v>
      </c>
      <c r="O76" s="105">
        <f t="shared" si="25"/>
        <v>12090000</v>
      </c>
      <c r="P76" s="33" t="s">
        <v>30</v>
      </c>
      <c r="Q76" s="33">
        <f t="shared" si="26"/>
        <v>201.5</v>
      </c>
      <c r="R76" s="33" t="s">
        <v>38</v>
      </c>
      <c r="S76" s="105">
        <v>9500</v>
      </c>
      <c r="T76" s="105">
        <f t="shared" si="24"/>
        <v>1914250</v>
      </c>
      <c r="U76" s="105">
        <f t="shared" si="27"/>
        <v>2015000</v>
      </c>
      <c r="V76" s="105">
        <f t="shared" si="28"/>
        <v>36270000</v>
      </c>
      <c r="W76" s="105">
        <f t="shared" si="21"/>
        <v>0</v>
      </c>
      <c r="X76" s="34">
        <f t="shared" si="22"/>
        <v>0</v>
      </c>
      <c r="Y76" s="246">
        <f t="shared" si="20"/>
        <v>52289250</v>
      </c>
      <c r="Z76" s="111">
        <f t="shared" si="23"/>
        <v>52289250</v>
      </c>
      <c r="AA76" s="88"/>
      <c r="AB76" s="302"/>
      <c r="AC76" s="303"/>
      <c r="AD76" s="303"/>
      <c r="AE76" s="303"/>
      <c r="AF76" s="35"/>
      <c r="AG76" s="35"/>
      <c r="AH76" s="35"/>
      <c r="AI76" s="35"/>
      <c r="AJ76" s="35"/>
      <c r="AK76" s="35"/>
      <c r="AL76" s="35"/>
      <c r="AM76" s="35"/>
    </row>
    <row r="77" spans="1:39" s="43" customFormat="1" ht="63.75" customHeight="1">
      <c r="A77" s="37">
        <v>13</v>
      </c>
      <c r="B77" s="75" t="s">
        <v>175</v>
      </c>
      <c r="C77" s="37">
        <v>72</v>
      </c>
      <c r="D77" s="37">
        <v>209</v>
      </c>
      <c r="E77" s="37">
        <v>171.9</v>
      </c>
      <c r="F77" s="37" t="s">
        <v>45</v>
      </c>
      <c r="G77" s="32" t="s">
        <v>44</v>
      </c>
      <c r="H77" s="109"/>
      <c r="I77" s="109">
        <v>164.6</v>
      </c>
      <c r="J77" s="32"/>
      <c r="K77" s="32"/>
      <c r="L77" s="33">
        <f t="shared" si="14"/>
        <v>164.6</v>
      </c>
      <c r="M77" s="854"/>
      <c r="N77" s="105">
        <v>60000</v>
      </c>
      <c r="O77" s="105">
        <f t="shared" si="25"/>
        <v>9876000</v>
      </c>
      <c r="P77" s="33" t="s">
        <v>30</v>
      </c>
      <c r="Q77" s="33">
        <f t="shared" si="26"/>
        <v>164.6</v>
      </c>
      <c r="R77" s="33" t="s">
        <v>38</v>
      </c>
      <c r="S77" s="105">
        <v>9500</v>
      </c>
      <c r="T77" s="105">
        <f t="shared" si="24"/>
        <v>1563700</v>
      </c>
      <c r="U77" s="105">
        <f t="shared" si="27"/>
        <v>1646000</v>
      </c>
      <c r="V77" s="105">
        <f t="shared" si="28"/>
        <v>29628000</v>
      </c>
      <c r="W77" s="105">
        <f t="shared" si="21"/>
        <v>0</v>
      </c>
      <c r="X77" s="34">
        <f t="shared" si="22"/>
        <v>0</v>
      </c>
      <c r="Y77" s="246">
        <f t="shared" si="20"/>
        <v>42713700</v>
      </c>
      <c r="Z77" s="111">
        <f t="shared" si="23"/>
        <v>42713700</v>
      </c>
      <c r="AA77" s="100" t="s">
        <v>104</v>
      </c>
      <c r="AB77" s="302"/>
      <c r="AC77" s="303"/>
      <c r="AD77" s="303"/>
      <c r="AE77" s="303"/>
      <c r="AF77" s="35"/>
      <c r="AG77" s="35"/>
      <c r="AH77" s="35"/>
      <c r="AI77" s="35"/>
      <c r="AJ77" s="35"/>
      <c r="AK77" s="35"/>
      <c r="AL77" s="35"/>
      <c r="AM77" s="35"/>
    </row>
    <row r="78" spans="1:39" s="43" customFormat="1" ht="63.75" customHeight="1">
      <c r="A78" s="37">
        <v>14</v>
      </c>
      <c r="B78" s="75" t="s">
        <v>58</v>
      </c>
      <c r="C78" s="37">
        <v>81</v>
      </c>
      <c r="D78" s="37">
        <v>28</v>
      </c>
      <c r="E78" s="44">
        <v>126.5</v>
      </c>
      <c r="F78" s="37" t="s">
        <v>0</v>
      </c>
      <c r="G78" s="32" t="s">
        <v>37</v>
      </c>
      <c r="H78" s="109"/>
      <c r="I78" s="32">
        <f>E78</f>
        <v>126.5</v>
      </c>
      <c r="J78" s="32"/>
      <c r="K78" s="32"/>
      <c r="L78" s="33">
        <f t="shared" si="14"/>
        <v>126.5</v>
      </c>
      <c r="M78" s="865">
        <f>SUM(L78:L80)</f>
        <v>265.3</v>
      </c>
      <c r="N78" s="105">
        <v>60000</v>
      </c>
      <c r="O78" s="105">
        <f t="shared" si="25"/>
        <v>7590000</v>
      </c>
      <c r="P78" s="33" t="s">
        <v>30</v>
      </c>
      <c r="Q78" s="33">
        <f t="shared" si="26"/>
        <v>126.5</v>
      </c>
      <c r="R78" s="33" t="s">
        <v>38</v>
      </c>
      <c r="S78" s="105">
        <v>9500</v>
      </c>
      <c r="T78" s="105">
        <f t="shared" si="24"/>
        <v>1201750</v>
      </c>
      <c r="U78" s="105">
        <f t="shared" si="27"/>
        <v>1265000</v>
      </c>
      <c r="V78" s="105">
        <f t="shared" si="28"/>
        <v>22770000</v>
      </c>
      <c r="W78" s="105">
        <f t="shared" si="21"/>
        <v>1</v>
      </c>
      <c r="X78" s="34">
        <f t="shared" si="22"/>
        <v>3500000</v>
      </c>
      <c r="Y78" s="246">
        <f t="shared" si="20"/>
        <v>36326750</v>
      </c>
      <c r="Z78" s="111">
        <f t="shared" si="23"/>
        <v>36326750</v>
      </c>
      <c r="AA78" s="88"/>
      <c r="AB78" s="302"/>
      <c r="AC78" s="303"/>
      <c r="AD78" s="303"/>
      <c r="AE78" s="303"/>
      <c r="AF78" s="35"/>
      <c r="AG78" s="35"/>
      <c r="AH78" s="35"/>
      <c r="AI78" s="35"/>
      <c r="AJ78" s="35"/>
      <c r="AK78" s="35"/>
      <c r="AL78" s="35"/>
      <c r="AM78" s="35"/>
    </row>
    <row r="79" spans="1:39" s="43" customFormat="1" ht="63.75" customHeight="1">
      <c r="A79" s="37">
        <v>14</v>
      </c>
      <c r="B79" s="75" t="s">
        <v>58</v>
      </c>
      <c r="C79" s="37">
        <v>72</v>
      </c>
      <c r="D79" s="37">
        <v>263</v>
      </c>
      <c r="E79" s="44">
        <v>307</v>
      </c>
      <c r="F79" s="37" t="s">
        <v>0</v>
      </c>
      <c r="G79" s="76" t="s">
        <v>44</v>
      </c>
      <c r="H79" s="109"/>
      <c r="I79" s="44">
        <f>98.5</f>
        <v>98.5</v>
      </c>
      <c r="J79" s="32"/>
      <c r="K79" s="32"/>
      <c r="L79" s="33">
        <f t="shared" si="14"/>
        <v>98.5</v>
      </c>
      <c r="M79" s="865"/>
      <c r="N79" s="105">
        <v>60000</v>
      </c>
      <c r="O79" s="105">
        <f t="shared" si="25"/>
        <v>5910000</v>
      </c>
      <c r="P79" s="33" t="s">
        <v>30</v>
      </c>
      <c r="Q79" s="33">
        <f t="shared" si="26"/>
        <v>98.5</v>
      </c>
      <c r="R79" s="33" t="s">
        <v>38</v>
      </c>
      <c r="S79" s="105">
        <v>9500</v>
      </c>
      <c r="T79" s="105">
        <f t="shared" si="24"/>
        <v>935750</v>
      </c>
      <c r="U79" s="105">
        <f t="shared" si="27"/>
        <v>985000</v>
      </c>
      <c r="V79" s="105">
        <f t="shared" si="28"/>
        <v>17730000</v>
      </c>
      <c r="W79" s="105">
        <f t="shared" si="21"/>
        <v>0</v>
      </c>
      <c r="X79" s="34">
        <f t="shared" si="22"/>
        <v>0</v>
      </c>
      <c r="Y79" s="246">
        <f t="shared" si="20"/>
        <v>25560750</v>
      </c>
      <c r="Z79" s="111">
        <f t="shared" si="23"/>
        <v>25560750</v>
      </c>
      <c r="AA79" s="37" t="s">
        <v>71</v>
      </c>
      <c r="AB79" s="302"/>
      <c r="AC79" s="303"/>
      <c r="AD79" s="303"/>
      <c r="AE79" s="303"/>
      <c r="AF79" s="35"/>
      <c r="AG79" s="35"/>
      <c r="AH79" s="35"/>
      <c r="AI79" s="35"/>
      <c r="AJ79" s="35"/>
      <c r="AK79" s="35"/>
      <c r="AL79" s="35"/>
      <c r="AM79" s="35"/>
    </row>
    <row r="80" spans="1:39" s="43" customFormat="1" ht="63.75" customHeight="1">
      <c r="A80" s="37">
        <v>14</v>
      </c>
      <c r="B80" s="75" t="s">
        <v>58</v>
      </c>
      <c r="C80" s="37">
        <v>72</v>
      </c>
      <c r="D80" s="37">
        <v>106</v>
      </c>
      <c r="E80" s="37">
        <v>40.3</v>
      </c>
      <c r="F80" s="37" t="s">
        <v>45</v>
      </c>
      <c r="G80" s="32" t="s">
        <v>44</v>
      </c>
      <c r="H80" s="109"/>
      <c r="I80" s="32">
        <f>E80</f>
        <v>40.3</v>
      </c>
      <c r="J80" s="32"/>
      <c r="K80" s="32"/>
      <c r="L80" s="33">
        <f t="shared" si="14"/>
        <v>40.3</v>
      </c>
      <c r="M80" s="865"/>
      <c r="N80" s="105">
        <v>60000</v>
      </c>
      <c r="O80" s="105">
        <f t="shared" si="25"/>
        <v>2418000</v>
      </c>
      <c r="P80" s="33" t="s">
        <v>30</v>
      </c>
      <c r="Q80" s="33">
        <f t="shared" si="26"/>
        <v>40.3</v>
      </c>
      <c r="R80" s="33" t="s">
        <v>38</v>
      </c>
      <c r="S80" s="105">
        <v>9500</v>
      </c>
      <c r="T80" s="105">
        <f t="shared" si="24"/>
        <v>382850</v>
      </c>
      <c r="U80" s="105">
        <f t="shared" si="27"/>
        <v>403000</v>
      </c>
      <c r="V80" s="105">
        <f t="shared" si="28"/>
        <v>7254000</v>
      </c>
      <c r="W80" s="105">
        <f t="shared" si="21"/>
        <v>0</v>
      </c>
      <c r="X80" s="34">
        <f t="shared" si="22"/>
        <v>0</v>
      </c>
      <c r="Y80" s="246">
        <f t="shared" si="20"/>
        <v>10457850</v>
      </c>
      <c r="Z80" s="111">
        <f t="shared" si="23"/>
        <v>10457850</v>
      </c>
      <c r="AA80" s="88"/>
      <c r="AB80" s="302"/>
      <c r="AC80" s="303"/>
      <c r="AD80" s="303"/>
      <c r="AE80" s="303"/>
      <c r="AF80" s="35"/>
      <c r="AG80" s="35"/>
      <c r="AH80" s="35"/>
      <c r="AI80" s="35"/>
      <c r="AJ80" s="35"/>
      <c r="AK80" s="35"/>
      <c r="AL80" s="35"/>
      <c r="AM80" s="35"/>
    </row>
    <row r="81" spans="1:39" s="43" customFormat="1" ht="63.75" customHeight="1">
      <c r="A81" s="37">
        <v>15</v>
      </c>
      <c r="B81" s="47" t="s">
        <v>60</v>
      </c>
      <c r="C81" s="106">
        <v>72</v>
      </c>
      <c r="D81" s="106">
        <v>219</v>
      </c>
      <c r="E81" s="107">
        <v>214.5</v>
      </c>
      <c r="F81" s="110" t="s">
        <v>45</v>
      </c>
      <c r="G81" s="32" t="s">
        <v>44</v>
      </c>
      <c r="H81" s="109">
        <f>E81</f>
        <v>214.5</v>
      </c>
      <c r="I81" s="32"/>
      <c r="J81" s="32"/>
      <c r="K81" s="32"/>
      <c r="L81" s="33">
        <f t="shared" si="14"/>
        <v>214.5</v>
      </c>
      <c r="M81" s="113">
        <f>L81+L82+L83+L84+L85</f>
        <v>844.5</v>
      </c>
      <c r="N81" s="105">
        <v>60000</v>
      </c>
      <c r="O81" s="105">
        <f t="shared" si="25"/>
        <v>12870000</v>
      </c>
      <c r="P81" s="33" t="s">
        <v>30</v>
      </c>
      <c r="Q81" s="33">
        <f t="shared" si="26"/>
        <v>214.5</v>
      </c>
      <c r="R81" s="33" t="s">
        <v>38</v>
      </c>
      <c r="S81" s="105">
        <v>9500</v>
      </c>
      <c r="T81" s="105">
        <f t="shared" si="24"/>
        <v>2037750</v>
      </c>
      <c r="U81" s="105">
        <f t="shared" si="27"/>
        <v>2145000</v>
      </c>
      <c r="V81" s="105">
        <f t="shared" si="28"/>
        <v>38610000</v>
      </c>
      <c r="W81" s="105">
        <f t="shared" si="21"/>
        <v>4</v>
      </c>
      <c r="X81" s="34">
        <f t="shared" si="22"/>
        <v>14000000</v>
      </c>
      <c r="Y81" s="105">
        <f t="shared" si="20"/>
        <v>69662750</v>
      </c>
      <c r="Z81" s="111">
        <f t="shared" si="23"/>
        <v>69662750</v>
      </c>
      <c r="AA81" s="88"/>
      <c r="AB81" s="302"/>
      <c r="AC81" s="303"/>
      <c r="AD81" s="303"/>
      <c r="AE81" s="303"/>
      <c r="AF81" s="35"/>
      <c r="AG81" s="35"/>
      <c r="AH81" s="35"/>
      <c r="AI81" s="35"/>
      <c r="AJ81" s="35"/>
      <c r="AK81" s="35"/>
      <c r="AL81" s="35"/>
      <c r="AM81" s="35"/>
    </row>
    <row r="82" spans="1:39" s="43" customFormat="1" ht="63.75" customHeight="1">
      <c r="A82" s="37">
        <v>15</v>
      </c>
      <c r="B82" s="80" t="s">
        <v>60</v>
      </c>
      <c r="C82" s="81">
        <v>72</v>
      </c>
      <c r="D82" s="81">
        <v>178</v>
      </c>
      <c r="E82" s="44">
        <v>193</v>
      </c>
      <c r="F82" s="82" t="s">
        <v>45</v>
      </c>
      <c r="G82" s="76" t="s">
        <v>44</v>
      </c>
      <c r="H82" s="109">
        <f>E82</f>
        <v>193</v>
      </c>
      <c r="I82" s="32"/>
      <c r="J82" s="32"/>
      <c r="K82" s="32"/>
      <c r="L82" s="33">
        <f t="shared" si="14"/>
        <v>193</v>
      </c>
      <c r="M82" s="301"/>
      <c r="N82" s="105">
        <v>60000</v>
      </c>
      <c r="O82" s="105">
        <f t="shared" si="25"/>
        <v>11580000</v>
      </c>
      <c r="P82" s="33" t="s">
        <v>30</v>
      </c>
      <c r="Q82" s="33">
        <f t="shared" si="26"/>
        <v>193</v>
      </c>
      <c r="R82" s="33" t="s">
        <v>38</v>
      </c>
      <c r="S82" s="105">
        <v>9500</v>
      </c>
      <c r="T82" s="105">
        <f t="shared" si="24"/>
        <v>1833500</v>
      </c>
      <c r="U82" s="105">
        <f t="shared" si="27"/>
        <v>1930000</v>
      </c>
      <c r="V82" s="105">
        <f t="shared" si="28"/>
        <v>34740000</v>
      </c>
      <c r="W82" s="105">
        <f t="shared" si="21"/>
        <v>0</v>
      </c>
      <c r="X82" s="34">
        <f t="shared" si="22"/>
        <v>0</v>
      </c>
      <c r="Y82" s="105">
        <f t="shared" si="20"/>
        <v>50083500</v>
      </c>
      <c r="Z82" s="111">
        <f t="shared" si="23"/>
        <v>50083500</v>
      </c>
      <c r="AA82" s="88"/>
      <c r="AB82" s="302"/>
      <c r="AC82" s="303"/>
      <c r="AD82" s="303"/>
      <c r="AE82" s="303"/>
      <c r="AF82" s="35"/>
      <c r="AG82" s="35"/>
      <c r="AH82" s="35"/>
      <c r="AI82" s="35"/>
      <c r="AJ82" s="35"/>
      <c r="AK82" s="35"/>
      <c r="AL82" s="35"/>
      <c r="AM82" s="35"/>
    </row>
    <row r="83" spans="1:39" s="43" customFormat="1" ht="63.75" customHeight="1">
      <c r="A83" s="37">
        <v>15</v>
      </c>
      <c r="B83" s="80" t="s">
        <v>60</v>
      </c>
      <c r="C83" s="81">
        <v>71</v>
      </c>
      <c r="D83" s="81">
        <v>112</v>
      </c>
      <c r="E83" s="44">
        <v>357.6</v>
      </c>
      <c r="F83" s="82" t="s">
        <v>0</v>
      </c>
      <c r="G83" s="32" t="s">
        <v>32</v>
      </c>
      <c r="H83" s="109">
        <f>E83</f>
        <v>357.6</v>
      </c>
      <c r="I83" s="32"/>
      <c r="J83" s="32"/>
      <c r="K83" s="32"/>
      <c r="L83" s="33">
        <f t="shared" si="14"/>
        <v>357.6</v>
      </c>
      <c r="M83" s="301"/>
      <c r="N83" s="105">
        <v>60000</v>
      </c>
      <c r="O83" s="105">
        <f t="shared" si="25"/>
        <v>21456000</v>
      </c>
      <c r="P83" s="33" t="s">
        <v>30</v>
      </c>
      <c r="Q83" s="33">
        <f t="shared" si="26"/>
        <v>357.6</v>
      </c>
      <c r="R83" s="33" t="s">
        <v>38</v>
      </c>
      <c r="S83" s="105">
        <v>9500</v>
      </c>
      <c r="T83" s="105">
        <f t="shared" si="24"/>
        <v>3397200</v>
      </c>
      <c r="U83" s="105">
        <f t="shared" si="27"/>
        <v>3576000</v>
      </c>
      <c r="V83" s="105">
        <f t="shared" si="28"/>
        <v>64368000</v>
      </c>
      <c r="W83" s="105">
        <f t="shared" si="21"/>
        <v>0</v>
      </c>
      <c r="X83" s="34">
        <f t="shared" si="22"/>
        <v>0</v>
      </c>
      <c r="Y83" s="105">
        <f t="shared" si="20"/>
        <v>92797200</v>
      </c>
      <c r="Z83" s="111">
        <f t="shared" si="23"/>
        <v>92797200</v>
      </c>
      <c r="AA83" s="88"/>
      <c r="AB83" s="302"/>
      <c r="AC83" s="303"/>
      <c r="AD83" s="303"/>
      <c r="AE83" s="303"/>
      <c r="AF83" s="35"/>
      <c r="AG83" s="35"/>
      <c r="AH83" s="35"/>
      <c r="AI83" s="35"/>
      <c r="AJ83" s="35"/>
      <c r="AK83" s="35"/>
      <c r="AL83" s="35"/>
      <c r="AM83" s="35"/>
    </row>
    <row r="84" spans="1:39" s="43" customFormat="1" ht="63.75" customHeight="1">
      <c r="A84" s="37">
        <v>15</v>
      </c>
      <c r="B84" s="80" t="s">
        <v>60</v>
      </c>
      <c r="C84" s="81">
        <v>72</v>
      </c>
      <c r="D84" s="81">
        <v>84</v>
      </c>
      <c r="E84" s="44">
        <v>44.1</v>
      </c>
      <c r="F84" s="82" t="s">
        <v>45</v>
      </c>
      <c r="G84" s="76" t="s">
        <v>44</v>
      </c>
      <c r="H84" s="109"/>
      <c r="I84" s="32">
        <f>E84</f>
        <v>44.1</v>
      </c>
      <c r="J84" s="32"/>
      <c r="K84" s="32"/>
      <c r="L84" s="33">
        <f t="shared" si="14"/>
        <v>44.1</v>
      </c>
      <c r="M84" s="301"/>
      <c r="N84" s="105">
        <v>60000</v>
      </c>
      <c r="O84" s="105">
        <f t="shared" si="25"/>
        <v>2646000</v>
      </c>
      <c r="P84" s="33" t="s">
        <v>30</v>
      </c>
      <c r="Q84" s="33">
        <f t="shared" si="26"/>
        <v>44.1</v>
      </c>
      <c r="R84" s="33" t="s">
        <v>38</v>
      </c>
      <c r="S84" s="105">
        <v>9500</v>
      </c>
      <c r="T84" s="105">
        <f t="shared" si="24"/>
        <v>418950</v>
      </c>
      <c r="U84" s="105">
        <f t="shared" si="27"/>
        <v>441000</v>
      </c>
      <c r="V84" s="105">
        <f t="shared" si="28"/>
        <v>7938000</v>
      </c>
      <c r="W84" s="105">
        <f t="shared" si="21"/>
        <v>0</v>
      </c>
      <c r="X84" s="34">
        <f t="shared" si="22"/>
        <v>0</v>
      </c>
      <c r="Y84" s="105">
        <f t="shared" si="20"/>
        <v>11443950</v>
      </c>
      <c r="Z84" s="111">
        <f t="shared" si="23"/>
        <v>11443950</v>
      </c>
      <c r="AA84" s="88"/>
      <c r="AB84" s="302"/>
      <c r="AC84" s="303"/>
      <c r="AD84" s="303"/>
      <c r="AE84" s="303"/>
      <c r="AF84" s="35"/>
      <c r="AG84" s="35"/>
      <c r="AH84" s="35"/>
      <c r="AI84" s="35"/>
      <c r="AJ84" s="35"/>
      <c r="AK84" s="35"/>
      <c r="AL84" s="35"/>
      <c r="AM84" s="35"/>
    </row>
    <row r="85" spans="1:39" s="43" customFormat="1" ht="63.75" customHeight="1">
      <c r="A85" s="37">
        <v>15</v>
      </c>
      <c r="B85" s="80" t="s">
        <v>60</v>
      </c>
      <c r="C85" s="81">
        <v>71</v>
      </c>
      <c r="D85" s="81">
        <v>28</v>
      </c>
      <c r="E85" s="44">
        <v>35.3</v>
      </c>
      <c r="F85" s="82" t="s">
        <v>0</v>
      </c>
      <c r="G85" s="32" t="s">
        <v>44</v>
      </c>
      <c r="H85" s="109"/>
      <c r="I85" s="32">
        <f>E85</f>
        <v>35.3</v>
      </c>
      <c r="J85" s="32"/>
      <c r="K85" s="32"/>
      <c r="L85" s="33">
        <f>H85+I85+J85+K85</f>
        <v>35.3</v>
      </c>
      <c r="M85" s="301"/>
      <c r="N85" s="105">
        <v>60000</v>
      </c>
      <c r="O85" s="105">
        <f t="shared" si="25"/>
        <v>2118000</v>
      </c>
      <c r="P85" s="33" t="s">
        <v>30</v>
      </c>
      <c r="Q85" s="33">
        <f t="shared" si="26"/>
        <v>35.3</v>
      </c>
      <c r="R85" s="33" t="s">
        <v>38</v>
      </c>
      <c r="S85" s="105">
        <v>9500</v>
      </c>
      <c r="T85" s="105">
        <f t="shared" si="24"/>
        <v>335350</v>
      </c>
      <c r="U85" s="105">
        <f t="shared" si="27"/>
        <v>353000</v>
      </c>
      <c r="V85" s="105">
        <f t="shared" si="28"/>
        <v>6354000</v>
      </c>
      <c r="W85" s="105">
        <f t="shared" si="21"/>
        <v>0</v>
      </c>
      <c r="X85" s="34">
        <f t="shared" si="22"/>
        <v>0</v>
      </c>
      <c r="Y85" s="105">
        <f t="shared" si="20"/>
        <v>9160350</v>
      </c>
      <c r="Z85" s="111">
        <f t="shared" si="23"/>
        <v>9160350</v>
      </c>
      <c r="AA85" s="88"/>
      <c r="AB85" s="302"/>
      <c r="AC85" s="303"/>
      <c r="AD85" s="303"/>
      <c r="AE85" s="303"/>
      <c r="AF85" s="35"/>
      <c r="AG85" s="35"/>
      <c r="AH85" s="35"/>
      <c r="AI85" s="35"/>
      <c r="AJ85" s="35"/>
      <c r="AK85" s="35"/>
      <c r="AL85" s="35"/>
      <c r="AM85" s="35"/>
    </row>
    <row r="86" spans="1:39" s="128" customFormat="1" ht="63.75" customHeight="1">
      <c r="A86" s="59" t="s">
        <v>133</v>
      </c>
      <c r="B86" s="93" t="s">
        <v>59</v>
      </c>
      <c r="C86" s="30"/>
      <c r="D86" s="30"/>
      <c r="E86" s="64"/>
      <c r="F86" s="30"/>
      <c r="G86" s="33"/>
      <c r="H86" s="33">
        <f aca="true" t="shared" si="29" ref="H86:M86">SUM(H87:H93)</f>
        <v>0</v>
      </c>
      <c r="I86" s="33">
        <f t="shared" si="29"/>
        <v>1457.1</v>
      </c>
      <c r="J86" s="33">
        <f t="shared" si="29"/>
        <v>0</v>
      </c>
      <c r="K86" s="33">
        <f t="shared" si="29"/>
        <v>1</v>
      </c>
      <c r="L86" s="33">
        <f t="shared" si="29"/>
        <v>1458.1</v>
      </c>
      <c r="M86" s="33">
        <f t="shared" si="29"/>
        <v>1458.1</v>
      </c>
      <c r="N86" s="33"/>
      <c r="O86" s="105">
        <f>SUM(O87:O93)</f>
        <v>87486000</v>
      </c>
      <c r="P86" s="33"/>
      <c r="Q86" s="33">
        <f>SUM(Q87:Q93)</f>
        <v>1458.1</v>
      </c>
      <c r="R86" s="33">
        <f>SUM(R87:R93)</f>
        <v>0</v>
      </c>
      <c r="S86" s="33"/>
      <c r="T86" s="105">
        <f aca="true" t="shared" si="30" ref="T86:Z86">SUM(T87:T93)</f>
        <v>13851950</v>
      </c>
      <c r="U86" s="105">
        <f t="shared" si="30"/>
        <v>14581000</v>
      </c>
      <c r="V86" s="105">
        <f t="shared" si="30"/>
        <v>262458000</v>
      </c>
      <c r="W86" s="105">
        <f t="shared" si="30"/>
        <v>4</v>
      </c>
      <c r="X86" s="105">
        <f t="shared" si="30"/>
        <v>14000000</v>
      </c>
      <c r="Y86" s="105">
        <f t="shared" si="30"/>
        <v>392376950</v>
      </c>
      <c r="Z86" s="105">
        <f t="shared" si="30"/>
        <v>392376950</v>
      </c>
      <c r="AA86" s="30"/>
      <c r="AB86" s="302"/>
      <c r="AC86" s="303"/>
      <c r="AD86" s="303"/>
      <c r="AE86" s="303"/>
      <c r="AF86" s="35"/>
      <c r="AG86" s="35"/>
      <c r="AH86" s="35"/>
      <c r="AI86" s="35"/>
      <c r="AJ86" s="35"/>
      <c r="AK86" s="35"/>
      <c r="AL86" s="35"/>
      <c r="AM86" s="35"/>
    </row>
    <row r="87" spans="1:39" s="43" customFormat="1" ht="63.75" customHeight="1">
      <c r="A87" s="95">
        <v>1</v>
      </c>
      <c r="B87" s="94" t="s">
        <v>176</v>
      </c>
      <c r="C87" s="95">
        <v>72</v>
      </c>
      <c r="D87" s="95">
        <v>179</v>
      </c>
      <c r="E87" s="95">
        <v>240.9</v>
      </c>
      <c r="F87" s="95" t="s">
        <v>45</v>
      </c>
      <c r="G87" s="32" t="s">
        <v>44</v>
      </c>
      <c r="H87" s="109"/>
      <c r="I87" s="32">
        <f aca="true" t="shared" si="31" ref="I87:I93">E87</f>
        <v>240.9</v>
      </c>
      <c r="J87" s="32"/>
      <c r="K87" s="32"/>
      <c r="L87" s="82">
        <f aca="true" t="shared" si="32" ref="L87:L93">H87+I87+J87+K87</f>
        <v>240.9</v>
      </c>
      <c r="M87" s="37">
        <f aca="true" t="shared" si="33" ref="M87:M93">L87</f>
        <v>240.9</v>
      </c>
      <c r="N87" s="105">
        <v>60000</v>
      </c>
      <c r="O87" s="105">
        <f aca="true" t="shared" si="34" ref="O87:O93">L87*N87</f>
        <v>14454000</v>
      </c>
      <c r="P87" s="33" t="s">
        <v>30</v>
      </c>
      <c r="Q87" s="33">
        <f aca="true" t="shared" si="35" ref="Q87:Q93">L87</f>
        <v>240.9</v>
      </c>
      <c r="R87" s="33" t="s">
        <v>38</v>
      </c>
      <c r="S87" s="105">
        <v>9500</v>
      </c>
      <c r="T87" s="105">
        <f aca="true" t="shared" si="36" ref="T87:T93">Q87*S87</f>
        <v>2288550</v>
      </c>
      <c r="U87" s="105">
        <f aca="true" t="shared" si="37" ref="U87:U93">L87*10000</f>
        <v>2409000</v>
      </c>
      <c r="V87" s="105">
        <f aca="true" t="shared" si="38" ref="V87:V93">L87*N87*3</f>
        <v>43362000</v>
      </c>
      <c r="W87" s="105">
        <f aca="true" t="shared" si="39" ref="W87:W93">INT(M87/176.4)</f>
        <v>1</v>
      </c>
      <c r="X87" s="34">
        <f>W87*3500000</f>
        <v>3500000</v>
      </c>
      <c r="Y87" s="246">
        <f aca="true" t="shared" si="40" ref="Y87:Y93">O87+T87+U87+V87+X87</f>
        <v>66013550</v>
      </c>
      <c r="Z87" s="111">
        <f aca="true" t="shared" si="41" ref="Z87:Z93">Y87</f>
        <v>66013550</v>
      </c>
      <c r="AA87" s="88"/>
      <c r="AB87" s="302"/>
      <c r="AC87" s="303"/>
      <c r="AD87" s="303"/>
      <c r="AE87" s="303"/>
      <c r="AF87" s="35"/>
      <c r="AG87" s="35"/>
      <c r="AH87" s="35"/>
      <c r="AI87" s="35"/>
      <c r="AJ87" s="35"/>
      <c r="AK87" s="35"/>
      <c r="AL87" s="35"/>
      <c r="AM87" s="35"/>
    </row>
    <row r="88" spans="1:39" s="43" customFormat="1" ht="63.75" customHeight="1">
      <c r="A88" s="37">
        <v>2</v>
      </c>
      <c r="B88" s="94" t="s">
        <v>177</v>
      </c>
      <c r="C88" s="95">
        <v>81</v>
      </c>
      <c r="D88" s="95">
        <v>57</v>
      </c>
      <c r="E88" s="95">
        <v>132.6</v>
      </c>
      <c r="F88" s="95" t="s">
        <v>45</v>
      </c>
      <c r="G88" s="110" t="s">
        <v>37</v>
      </c>
      <c r="H88" s="109"/>
      <c r="I88" s="32">
        <f t="shared" si="31"/>
        <v>132.6</v>
      </c>
      <c r="J88" s="32"/>
      <c r="K88" s="32"/>
      <c r="L88" s="82">
        <f t="shared" si="32"/>
        <v>132.6</v>
      </c>
      <c r="M88" s="37">
        <f t="shared" si="33"/>
        <v>132.6</v>
      </c>
      <c r="N88" s="105">
        <v>60000</v>
      </c>
      <c r="O88" s="105">
        <f t="shared" si="34"/>
        <v>7956000</v>
      </c>
      <c r="P88" s="33" t="s">
        <v>30</v>
      </c>
      <c r="Q88" s="33">
        <f t="shared" si="35"/>
        <v>132.6</v>
      </c>
      <c r="R88" s="33" t="s">
        <v>38</v>
      </c>
      <c r="S88" s="105">
        <v>9500</v>
      </c>
      <c r="T88" s="105">
        <f t="shared" si="36"/>
        <v>1259700</v>
      </c>
      <c r="U88" s="105">
        <f t="shared" si="37"/>
        <v>1326000</v>
      </c>
      <c r="V88" s="105">
        <f t="shared" si="38"/>
        <v>23868000</v>
      </c>
      <c r="W88" s="105">
        <f t="shared" si="39"/>
        <v>0</v>
      </c>
      <c r="X88" s="34">
        <f aca="true" t="shared" si="42" ref="X88:X97">W88*3500000</f>
        <v>0</v>
      </c>
      <c r="Y88" s="246">
        <f t="shared" si="40"/>
        <v>34409700</v>
      </c>
      <c r="Z88" s="111">
        <f t="shared" si="41"/>
        <v>34409700</v>
      </c>
      <c r="AA88" s="88"/>
      <c r="AB88" s="302"/>
      <c r="AC88" s="303"/>
      <c r="AD88" s="303"/>
      <c r="AE88" s="303"/>
      <c r="AF88" s="35"/>
      <c r="AG88" s="35"/>
      <c r="AH88" s="35"/>
      <c r="AI88" s="35"/>
      <c r="AJ88" s="35"/>
      <c r="AK88" s="35"/>
      <c r="AL88" s="35"/>
      <c r="AM88" s="35"/>
    </row>
    <row r="89" spans="1:39" s="43" customFormat="1" ht="63.75" customHeight="1">
      <c r="A89" s="95">
        <v>3</v>
      </c>
      <c r="B89" s="94" t="s">
        <v>178</v>
      </c>
      <c r="C89" s="95">
        <v>81</v>
      </c>
      <c r="D89" s="95">
        <v>92</v>
      </c>
      <c r="E89" s="95">
        <v>266.4</v>
      </c>
      <c r="F89" s="95" t="s">
        <v>0</v>
      </c>
      <c r="G89" s="110" t="s">
        <v>37</v>
      </c>
      <c r="H89" s="109"/>
      <c r="I89" s="32">
        <f t="shared" si="31"/>
        <v>266.4</v>
      </c>
      <c r="J89" s="32"/>
      <c r="K89" s="32"/>
      <c r="L89" s="82">
        <f t="shared" si="32"/>
        <v>266.4</v>
      </c>
      <c r="M89" s="37">
        <f t="shared" si="33"/>
        <v>266.4</v>
      </c>
      <c r="N89" s="105">
        <v>60000</v>
      </c>
      <c r="O89" s="105">
        <f t="shared" si="34"/>
        <v>15983999.999999998</v>
      </c>
      <c r="P89" s="33" t="s">
        <v>30</v>
      </c>
      <c r="Q89" s="33">
        <f t="shared" si="35"/>
        <v>266.4</v>
      </c>
      <c r="R89" s="33" t="s">
        <v>38</v>
      </c>
      <c r="S89" s="105">
        <v>9500</v>
      </c>
      <c r="T89" s="105">
        <f t="shared" si="36"/>
        <v>2530800</v>
      </c>
      <c r="U89" s="105">
        <f t="shared" si="37"/>
        <v>2664000</v>
      </c>
      <c r="V89" s="105">
        <f t="shared" si="38"/>
        <v>47951999.99999999</v>
      </c>
      <c r="W89" s="105">
        <f t="shared" si="39"/>
        <v>1</v>
      </c>
      <c r="X89" s="34">
        <f t="shared" si="42"/>
        <v>3500000</v>
      </c>
      <c r="Y89" s="246">
        <f t="shared" si="40"/>
        <v>72630800</v>
      </c>
      <c r="Z89" s="111">
        <f t="shared" si="41"/>
        <v>72630800</v>
      </c>
      <c r="AA89" s="88"/>
      <c r="AB89" s="302"/>
      <c r="AC89" s="303"/>
      <c r="AD89" s="303"/>
      <c r="AE89" s="303"/>
      <c r="AF89" s="35"/>
      <c r="AG89" s="35"/>
      <c r="AH89" s="35"/>
      <c r="AI89" s="35"/>
      <c r="AJ89" s="35"/>
      <c r="AK89" s="35"/>
      <c r="AL89" s="35"/>
      <c r="AM89" s="35"/>
    </row>
    <row r="90" spans="1:39" s="43" customFormat="1" ht="63.75" customHeight="1">
      <c r="A90" s="37">
        <v>4</v>
      </c>
      <c r="B90" s="94" t="s">
        <v>179</v>
      </c>
      <c r="C90" s="95">
        <v>81</v>
      </c>
      <c r="D90" s="95">
        <v>90</v>
      </c>
      <c r="E90" s="95">
        <v>462.6</v>
      </c>
      <c r="F90" s="95" t="s">
        <v>0</v>
      </c>
      <c r="G90" s="110" t="s">
        <v>37</v>
      </c>
      <c r="H90" s="109"/>
      <c r="I90" s="32">
        <f>E90-K90</f>
        <v>461.6</v>
      </c>
      <c r="J90" s="32"/>
      <c r="K90" s="32">
        <v>1</v>
      </c>
      <c r="L90" s="82">
        <f t="shared" si="32"/>
        <v>462.6</v>
      </c>
      <c r="M90" s="37">
        <f t="shared" si="33"/>
        <v>462.6</v>
      </c>
      <c r="N90" s="105">
        <v>60000</v>
      </c>
      <c r="O90" s="105">
        <f t="shared" si="34"/>
        <v>27756000</v>
      </c>
      <c r="P90" s="33" t="s">
        <v>30</v>
      </c>
      <c r="Q90" s="33">
        <f t="shared" si="35"/>
        <v>462.6</v>
      </c>
      <c r="R90" s="33" t="s">
        <v>38</v>
      </c>
      <c r="S90" s="105">
        <v>9500</v>
      </c>
      <c r="T90" s="105">
        <f t="shared" si="36"/>
        <v>4394700</v>
      </c>
      <c r="U90" s="105">
        <f t="shared" si="37"/>
        <v>4626000</v>
      </c>
      <c r="V90" s="105">
        <f t="shared" si="38"/>
        <v>83268000</v>
      </c>
      <c r="W90" s="105">
        <f t="shared" si="39"/>
        <v>2</v>
      </c>
      <c r="X90" s="34">
        <f t="shared" si="42"/>
        <v>7000000</v>
      </c>
      <c r="Y90" s="246">
        <f t="shared" si="40"/>
        <v>127044700</v>
      </c>
      <c r="Z90" s="111">
        <f t="shared" si="41"/>
        <v>127044700</v>
      </c>
      <c r="AA90" s="88"/>
      <c r="AB90" s="302"/>
      <c r="AC90" s="303"/>
      <c r="AD90" s="303"/>
      <c r="AE90" s="303"/>
      <c r="AF90" s="35"/>
      <c r="AG90" s="35"/>
      <c r="AH90" s="35"/>
      <c r="AI90" s="35"/>
      <c r="AJ90" s="35"/>
      <c r="AK90" s="35"/>
      <c r="AL90" s="35"/>
      <c r="AM90" s="35"/>
    </row>
    <row r="91" spans="1:39" s="43" customFormat="1" ht="63.75" customHeight="1">
      <c r="A91" s="95">
        <v>5</v>
      </c>
      <c r="B91" s="119" t="s">
        <v>180</v>
      </c>
      <c r="C91" s="95">
        <v>81</v>
      </c>
      <c r="D91" s="95">
        <v>32</v>
      </c>
      <c r="E91" s="95">
        <v>91.6</v>
      </c>
      <c r="F91" s="95" t="s">
        <v>0</v>
      </c>
      <c r="G91" s="110" t="s">
        <v>37</v>
      </c>
      <c r="H91" s="109"/>
      <c r="I91" s="32">
        <f t="shared" si="31"/>
        <v>91.6</v>
      </c>
      <c r="J91" s="32"/>
      <c r="K91" s="32"/>
      <c r="L91" s="82">
        <f t="shared" si="32"/>
        <v>91.6</v>
      </c>
      <c r="M91" s="37">
        <f t="shared" si="33"/>
        <v>91.6</v>
      </c>
      <c r="N91" s="105">
        <v>60000</v>
      </c>
      <c r="O91" s="105">
        <f>L91*N91</f>
        <v>5496000</v>
      </c>
      <c r="P91" s="33" t="s">
        <v>30</v>
      </c>
      <c r="Q91" s="33">
        <f>L91</f>
        <v>91.6</v>
      </c>
      <c r="R91" s="33" t="s">
        <v>38</v>
      </c>
      <c r="S91" s="105">
        <v>9500</v>
      </c>
      <c r="T91" s="105">
        <f>Q91*S91</f>
        <v>870200</v>
      </c>
      <c r="U91" s="105">
        <f>L91*10000</f>
        <v>916000</v>
      </c>
      <c r="V91" s="105">
        <f>L91*N91*3</f>
        <v>16488000</v>
      </c>
      <c r="W91" s="105">
        <f t="shared" si="39"/>
        <v>0</v>
      </c>
      <c r="X91" s="34">
        <f>W91*3500000</f>
        <v>0</v>
      </c>
      <c r="Y91" s="246">
        <f t="shared" si="40"/>
        <v>23770200</v>
      </c>
      <c r="Z91" s="111">
        <f t="shared" si="41"/>
        <v>23770200</v>
      </c>
      <c r="AA91" s="88"/>
      <c r="AB91" s="302"/>
      <c r="AC91" s="303"/>
      <c r="AD91" s="303"/>
      <c r="AE91" s="303"/>
      <c r="AF91" s="35"/>
      <c r="AG91" s="35"/>
      <c r="AH91" s="35"/>
      <c r="AI91" s="35"/>
      <c r="AJ91" s="35"/>
      <c r="AK91" s="35"/>
      <c r="AL91" s="35"/>
      <c r="AM91" s="35"/>
    </row>
    <row r="92" spans="1:39" s="43" customFormat="1" ht="63.75" customHeight="1">
      <c r="A92" s="95">
        <v>5</v>
      </c>
      <c r="B92" s="119" t="s">
        <v>180</v>
      </c>
      <c r="C92" s="95">
        <v>81</v>
      </c>
      <c r="D92" s="95">
        <v>35</v>
      </c>
      <c r="E92" s="95">
        <f>93.7</f>
        <v>93.7</v>
      </c>
      <c r="F92" s="95" t="s">
        <v>0</v>
      </c>
      <c r="G92" s="110" t="s">
        <v>37</v>
      </c>
      <c r="H92" s="109"/>
      <c r="I92" s="32">
        <f t="shared" si="31"/>
        <v>93.7</v>
      </c>
      <c r="J92" s="32"/>
      <c r="K92" s="32"/>
      <c r="L92" s="82">
        <f t="shared" si="32"/>
        <v>93.7</v>
      </c>
      <c r="M92" s="37">
        <f t="shared" si="33"/>
        <v>93.7</v>
      </c>
      <c r="N92" s="105">
        <v>60000</v>
      </c>
      <c r="O92" s="105">
        <f>L92*N92</f>
        <v>5622000</v>
      </c>
      <c r="P92" s="33" t="s">
        <v>30</v>
      </c>
      <c r="Q92" s="33">
        <f>L92</f>
        <v>93.7</v>
      </c>
      <c r="R92" s="33" t="s">
        <v>38</v>
      </c>
      <c r="S92" s="105">
        <v>9500</v>
      </c>
      <c r="T92" s="105">
        <f>Q92*S92</f>
        <v>890150</v>
      </c>
      <c r="U92" s="105">
        <f>L92*10000</f>
        <v>937000</v>
      </c>
      <c r="V92" s="105">
        <f>L92*N92*3</f>
        <v>16866000</v>
      </c>
      <c r="W92" s="105">
        <f t="shared" si="39"/>
        <v>0</v>
      </c>
      <c r="X92" s="34">
        <f>W92*3500000</f>
        <v>0</v>
      </c>
      <c r="Y92" s="246">
        <f t="shared" si="40"/>
        <v>24315150</v>
      </c>
      <c r="Z92" s="111">
        <f t="shared" si="41"/>
        <v>24315150</v>
      </c>
      <c r="AA92" s="88"/>
      <c r="AB92" s="302"/>
      <c r="AC92" s="303"/>
      <c r="AD92" s="303"/>
      <c r="AE92" s="303"/>
      <c r="AF92" s="35"/>
      <c r="AG92" s="35"/>
      <c r="AH92" s="35"/>
      <c r="AI92" s="35"/>
      <c r="AJ92" s="35"/>
      <c r="AK92" s="35"/>
      <c r="AL92" s="35"/>
      <c r="AM92" s="35"/>
    </row>
    <row r="93" spans="1:39" s="43" customFormat="1" ht="63.75" customHeight="1">
      <c r="A93" s="95">
        <v>6</v>
      </c>
      <c r="B93" s="94" t="s">
        <v>181</v>
      </c>
      <c r="C93" s="95">
        <v>81</v>
      </c>
      <c r="D93" s="95">
        <v>56</v>
      </c>
      <c r="E93" s="95">
        <v>170.3</v>
      </c>
      <c r="F93" s="95" t="s">
        <v>45</v>
      </c>
      <c r="G93" s="110" t="s">
        <v>37</v>
      </c>
      <c r="H93" s="109"/>
      <c r="I93" s="32">
        <f t="shared" si="31"/>
        <v>170.3</v>
      </c>
      <c r="J93" s="32"/>
      <c r="K93" s="32"/>
      <c r="L93" s="82">
        <f t="shared" si="32"/>
        <v>170.3</v>
      </c>
      <c r="M93" s="37">
        <f t="shared" si="33"/>
        <v>170.3</v>
      </c>
      <c r="N93" s="105">
        <v>60000</v>
      </c>
      <c r="O93" s="105">
        <f t="shared" si="34"/>
        <v>10218000</v>
      </c>
      <c r="P93" s="33" t="s">
        <v>30</v>
      </c>
      <c r="Q93" s="33">
        <f t="shared" si="35"/>
        <v>170.3</v>
      </c>
      <c r="R93" s="33" t="s">
        <v>38</v>
      </c>
      <c r="S93" s="105">
        <v>9500</v>
      </c>
      <c r="T93" s="105">
        <f t="shared" si="36"/>
        <v>1617850</v>
      </c>
      <c r="U93" s="105">
        <f t="shared" si="37"/>
        <v>1703000</v>
      </c>
      <c r="V93" s="105">
        <f t="shared" si="38"/>
        <v>30654000</v>
      </c>
      <c r="W93" s="105">
        <f t="shared" si="39"/>
        <v>0</v>
      </c>
      <c r="X93" s="34">
        <f t="shared" si="42"/>
        <v>0</v>
      </c>
      <c r="Y93" s="105">
        <f t="shared" si="40"/>
        <v>44192850</v>
      </c>
      <c r="Z93" s="111">
        <f t="shared" si="41"/>
        <v>44192850</v>
      </c>
      <c r="AA93" s="88"/>
      <c r="AB93" s="302"/>
      <c r="AC93" s="303"/>
      <c r="AD93" s="303"/>
      <c r="AE93" s="303"/>
      <c r="AF93" s="35"/>
      <c r="AG93" s="35"/>
      <c r="AH93" s="35"/>
      <c r="AI93" s="35"/>
      <c r="AJ93" s="35"/>
      <c r="AK93" s="35"/>
      <c r="AL93" s="35"/>
      <c r="AM93" s="35"/>
    </row>
    <row r="94" spans="1:39" s="128" customFormat="1" ht="63.75" customHeight="1">
      <c r="A94" s="30" t="s">
        <v>67</v>
      </c>
      <c r="B94" s="93" t="s">
        <v>61</v>
      </c>
      <c r="C94" s="95"/>
      <c r="D94" s="95"/>
      <c r="E94" s="95"/>
      <c r="F94" s="95"/>
      <c r="G94" s="95"/>
      <c r="H94" s="107">
        <f aca="true" t="shared" si="43" ref="H94:M94">SUM(H95:H97)</f>
        <v>0</v>
      </c>
      <c r="I94" s="107">
        <f t="shared" si="43"/>
        <v>1502.8</v>
      </c>
      <c r="J94" s="107">
        <f t="shared" si="43"/>
        <v>0</v>
      </c>
      <c r="K94" s="107">
        <f t="shared" si="43"/>
        <v>0</v>
      </c>
      <c r="L94" s="107">
        <f t="shared" si="43"/>
        <v>1502.8</v>
      </c>
      <c r="M94" s="107">
        <f t="shared" si="43"/>
        <v>1502.8</v>
      </c>
      <c r="N94" s="105"/>
      <c r="O94" s="111">
        <f>SUM(O95:O97)</f>
        <v>90168000</v>
      </c>
      <c r="P94" s="111"/>
      <c r="Q94" s="33">
        <f>SUM(Q95:Q97)</f>
        <v>1502.8</v>
      </c>
      <c r="R94" s="111">
        <f>SUM(R95:R97)</f>
        <v>0</v>
      </c>
      <c r="S94" s="105"/>
      <c r="T94" s="111">
        <f>SUM(T95:T97)</f>
        <v>14276600</v>
      </c>
      <c r="U94" s="105">
        <f>SUM(U95:U97)</f>
        <v>15028000</v>
      </c>
      <c r="V94" s="111">
        <f>SUM(V95:V97)</f>
        <v>270504000</v>
      </c>
      <c r="W94" s="105">
        <f>SUM(W95:W97)</f>
        <v>6</v>
      </c>
      <c r="X94" s="34">
        <f t="shared" si="42"/>
        <v>21000000</v>
      </c>
      <c r="Y94" s="105">
        <f>SUM(Y95:Y97)</f>
        <v>410976600</v>
      </c>
      <c r="Z94" s="111">
        <f>SUM(Z95:Z97)</f>
        <v>410976600</v>
      </c>
      <c r="AA94" s="30"/>
      <c r="AB94" s="302"/>
      <c r="AC94" s="303"/>
      <c r="AD94" s="303"/>
      <c r="AE94" s="303"/>
      <c r="AF94" s="35"/>
      <c r="AG94" s="35"/>
      <c r="AH94" s="35"/>
      <c r="AI94" s="35"/>
      <c r="AJ94" s="35"/>
      <c r="AK94" s="35"/>
      <c r="AL94" s="35"/>
      <c r="AM94" s="35"/>
    </row>
    <row r="95" spans="1:39" s="43" customFormat="1" ht="63.75" customHeight="1">
      <c r="A95" s="37">
        <v>1</v>
      </c>
      <c r="B95" s="47" t="s">
        <v>62</v>
      </c>
      <c r="C95" s="106">
        <v>82</v>
      </c>
      <c r="D95" s="106">
        <v>164</v>
      </c>
      <c r="E95" s="107">
        <v>472.8</v>
      </c>
      <c r="F95" s="110" t="s">
        <v>0</v>
      </c>
      <c r="G95" s="32" t="s">
        <v>63</v>
      </c>
      <c r="H95" s="109"/>
      <c r="I95" s="109">
        <v>466.1</v>
      </c>
      <c r="J95" s="32"/>
      <c r="K95" s="32"/>
      <c r="L95" s="44">
        <f>H95+I95+J95+K95</f>
        <v>466.1</v>
      </c>
      <c r="M95" s="44">
        <f>L95</f>
        <v>466.1</v>
      </c>
      <c r="N95" s="105">
        <v>60000</v>
      </c>
      <c r="O95" s="105">
        <f>L95*N95</f>
        <v>27966000</v>
      </c>
      <c r="P95" s="33" t="s">
        <v>30</v>
      </c>
      <c r="Q95" s="33">
        <f>L95</f>
        <v>466.1</v>
      </c>
      <c r="R95" s="33" t="s">
        <v>38</v>
      </c>
      <c r="S95" s="105">
        <v>9500</v>
      </c>
      <c r="T95" s="105">
        <f>Q95*S95</f>
        <v>4427950</v>
      </c>
      <c r="U95" s="105">
        <f>L95*10000</f>
        <v>4661000</v>
      </c>
      <c r="V95" s="105">
        <f>L95*N95*3</f>
        <v>83898000</v>
      </c>
      <c r="W95" s="105">
        <f>INT(M95/218.4)</f>
        <v>2</v>
      </c>
      <c r="X95" s="34">
        <f t="shared" si="42"/>
        <v>7000000</v>
      </c>
      <c r="Y95" s="105">
        <f>O95+T95+U95+V95+X95</f>
        <v>127952950</v>
      </c>
      <c r="Z95" s="111">
        <f>Y95</f>
        <v>127952950</v>
      </c>
      <c r="AA95" s="100"/>
      <c r="AB95" s="302"/>
      <c r="AC95" s="303"/>
      <c r="AD95" s="303"/>
      <c r="AE95" s="303"/>
      <c r="AF95" s="35"/>
      <c r="AG95" s="35"/>
      <c r="AH95" s="35"/>
      <c r="AI95" s="35"/>
      <c r="AJ95" s="35"/>
      <c r="AK95" s="35"/>
      <c r="AL95" s="35"/>
      <c r="AM95" s="35"/>
    </row>
    <row r="96" spans="1:39" s="43" customFormat="1" ht="63.75" customHeight="1">
      <c r="A96" s="37">
        <v>2</v>
      </c>
      <c r="B96" s="47" t="s">
        <v>64</v>
      </c>
      <c r="C96" s="106">
        <v>82</v>
      </c>
      <c r="D96" s="106">
        <v>126</v>
      </c>
      <c r="E96" s="107">
        <v>642.4</v>
      </c>
      <c r="F96" s="110" t="s">
        <v>0</v>
      </c>
      <c r="G96" s="32" t="s">
        <v>63</v>
      </c>
      <c r="H96" s="109"/>
      <c r="I96" s="109">
        <v>495.7</v>
      </c>
      <c r="J96" s="32"/>
      <c r="K96" s="32"/>
      <c r="L96" s="44">
        <f>H96+I96+J96+K96</f>
        <v>495.7</v>
      </c>
      <c r="M96" s="44">
        <f>L96</f>
        <v>495.7</v>
      </c>
      <c r="N96" s="105">
        <v>60000</v>
      </c>
      <c r="O96" s="105">
        <f>L96*N96</f>
        <v>29742000</v>
      </c>
      <c r="P96" s="33" t="s">
        <v>30</v>
      </c>
      <c r="Q96" s="33">
        <f>L96</f>
        <v>495.7</v>
      </c>
      <c r="R96" s="33" t="s">
        <v>38</v>
      </c>
      <c r="S96" s="105">
        <v>9500</v>
      </c>
      <c r="T96" s="105">
        <f>Q96*S96</f>
        <v>4709150</v>
      </c>
      <c r="U96" s="105">
        <f>L96*10000</f>
        <v>4957000</v>
      </c>
      <c r="V96" s="105">
        <f>L96*N96*3</f>
        <v>89226000</v>
      </c>
      <c r="W96" s="105">
        <f>INT(M96/218.4)</f>
        <v>2</v>
      </c>
      <c r="X96" s="34">
        <f t="shared" si="42"/>
        <v>7000000</v>
      </c>
      <c r="Y96" s="105">
        <f>O96+T96+U96+V96+X96</f>
        <v>135634150</v>
      </c>
      <c r="Z96" s="111">
        <f>Y96</f>
        <v>135634150</v>
      </c>
      <c r="AA96" s="88"/>
      <c r="AB96" s="302"/>
      <c r="AC96" s="303"/>
      <c r="AD96" s="303"/>
      <c r="AE96" s="303"/>
      <c r="AF96" s="35"/>
      <c r="AG96" s="35"/>
      <c r="AH96" s="35"/>
      <c r="AI96" s="35"/>
      <c r="AJ96" s="35"/>
      <c r="AK96" s="35"/>
      <c r="AL96" s="35"/>
      <c r="AM96" s="35"/>
    </row>
    <row r="97" spans="1:39" s="43" customFormat="1" ht="63.75" customHeight="1">
      <c r="A97" s="95">
        <v>3</v>
      </c>
      <c r="B97" s="47" t="s">
        <v>65</v>
      </c>
      <c r="C97" s="106">
        <v>82</v>
      </c>
      <c r="D97" s="106">
        <v>167</v>
      </c>
      <c r="E97" s="107">
        <v>724.1</v>
      </c>
      <c r="F97" s="110" t="s">
        <v>0</v>
      </c>
      <c r="G97" s="32" t="s">
        <v>63</v>
      </c>
      <c r="H97" s="109"/>
      <c r="I97" s="109">
        <v>541</v>
      </c>
      <c r="J97" s="32"/>
      <c r="K97" s="32"/>
      <c r="L97" s="44">
        <f>H97+I97+J97+K97</f>
        <v>541</v>
      </c>
      <c r="M97" s="44">
        <f>L97</f>
        <v>541</v>
      </c>
      <c r="N97" s="105">
        <v>60000</v>
      </c>
      <c r="O97" s="105">
        <f>L97*N97</f>
        <v>32460000</v>
      </c>
      <c r="P97" s="33" t="s">
        <v>30</v>
      </c>
      <c r="Q97" s="33">
        <f>L97</f>
        <v>541</v>
      </c>
      <c r="R97" s="33" t="s">
        <v>38</v>
      </c>
      <c r="S97" s="105">
        <v>9500</v>
      </c>
      <c r="T97" s="105">
        <f>Q97*S97</f>
        <v>5139500</v>
      </c>
      <c r="U97" s="105">
        <f>L97*10000</f>
        <v>5410000</v>
      </c>
      <c r="V97" s="105">
        <f>L97*N97*3</f>
        <v>97380000</v>
      </c>
      <c r="W97" s="105">
        <f>INT(M97/218.4)</f>
        <v>2</v>
      </c>
      <c r="X97" s="34">
        <f t="shared" si="42"/>
        <v>7000000</v>
      </c>
      <c r="Y97" s="105">
        <f>O97+T97+U97+V97+X97</f>
        <v>147389500</v>
      </c>
      <c r="Z97" s="111">
        <f>Y97</f>
        <v>147389500</v>
      </c>
      <c r="AA97" s="88"/>
      <c r="AB97" s="302"/>
      <c r="AC97" s="303"/>
      <c r="AD97" s="303"/>
      <c r="AE97" s="303"/>
      <c r="AF97" s="35"/>
      <c r="AG97" s="35"/>
      <c r="AH97" s="35"/>
      <c r="AI97" s="35"/>
      <c r="AJ97" s="35"/>
      <c r="AK97" s="35"/>
      <c r="AL97" s="35"/>
      <c r="AM97" s="35"/>
    </row>
    <row r="98" spans="1:39" s="43" customFormat="1" ht="17.25">
      <c r="A98" s="308"/>
      <c r="B98" s="309"/>
      <c r="L98" s="310"/>
      <c r="W98" s="310"/>
      <c r="X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1:39" s="43" customFormat="1" ht="78" customHeight="1">
      <c r="A99" s="308"/>
      <c r="B99" s="309"/>
      <c r="L99" s="310"/>
      <c r="W99" s="310"/>
      <c r="X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</row>
    <row r="100" ht="78" customHeight="1"/>
    <row r="101" ht="78" customHeight="1"/>
    <row r="102" ht="78" customHeight="1"/>
    <row r="103" ht="78" customHeight="1"/>
    <row r="104" ht="78" customHeight="1"/>
    <row r="105" ht="78" customHeight="1"/>
    <row r="106" ht="78" customHeight="1"/>
    <row r="107" ht="78" customHeight="1"/>
    <row r="108" ht="78" customHeight="1"/>
    <row r="109" ht="78" customHeight="1"/>
    <row r="110" ht="78" customHeight="1"/>
    <row r="111" ht="78" customHeight="1"/>
    <row r="112" ht="78" customHeight="1"/>
    <row r="113" ht="78" customHeight="1"/>
    <row r="114" ht="78" customHeight="1"/>
    <row r="115" ht="78" customHeight="1"/>
    <row r="116" ht="78" customHeight="1"/>
    <row r="117" ht="78" customHeight="1"/>
    <row r="118" ht="78" customHeight="1"/>
    <row r="119" ht="78" customHeight="1"/>
    <row r="120" ht="78" customHeight="1"/>
    <row r="121" ht="78" customHeight="1"/>
    <row r="122" ht="78" customHeight="1"/>
    <row r="123" ht="78" customHeight="1"/>
    <row r="124" ht="78" customHeight="1"/>
    <row r="125" ht="78" customHeight="1"/>
    <row r="126" ht="78" customHeight="1"/>
    <row r="127" ht="78" customHeight="1"/>
    <row r="128" ht="78" customHeight="1"/>
    <row r="129" ht="78" customHeight="1"/>
    <row r="130" ht="78" customHeight="1"/>
    <row r="131" ht="78" customHeight="1"/>
    <row r="132" ht="78" customHeight="1"/>
    <row r="133" ht="78" customHeight="1"/>
    <row r="134" ht="78" customHeight="1"/>
    <row r="135" ht="78" customHeight="1"/>
    <row r="136" ht="78" customHeight="1"/>
    <row r="137" ht="78" customHeight="1"/>
    <row r="138" ht="78" customHeight="1"/>
    <row r="139" ht="78" customHeight="1"/>
    <row r="140" ht="78" customHeight="1"/>
    <row r="141" ht="78" customHeight="1"/>
    <row r="142" ht="78" customHeight="1"/>
    <row r="143" ht="78" customHeight="1"/>
    <row r="144" ht="78" customHeight="1"/>
    <row r="145" ht="78" customHeight="1"/>
    <row r="146" ht="78" customHeight="1"/>
    <row r="147" ht="78" customHeight="1"/>
    <row r="148" ht="78" customHeight="1"/>
    <row r="149" ht="78" customHeight="1"/>
    <row r="150" ht="78" customHeight="1"/>
    <row r="151" ht="78" customHeight="1"/>
    <row r="152" ht="78" customHeight="1"/>
    <row r="153" ht="78" customHeight="1"/>
    <row r="154" ht="78" customHeight="1"/>
    <row r="155" ht="78" customHeight="1"/>
    <row r="156" ht="78" customHeight="1"/>
    <row r="157" ht="78" customHeight="1"/>
    <row r="158" ht="78" customHeight="1"/>
    <row r="159" ht="78" customHeight="1"/>
    <row r="160" ht="78" customHeight="1"/>
    <row r="161" ht="78" customHeight="1"/>
    <row r="162" ht="78" customHeight="1"/>
    <row r="163" ht="78" customHeight="1"/>
    <row r="164" ht="78" customHeight="1"/>
    <row r="165" ht="78" customHeight="1"/>
    <row r="166" ht="78" customHeight="1"/>
    <row r="167" ht="78" customHeight="1"/>
    <row r="168" ht="78" customHeight="1"/>
    <row r="169" ht="78" customHeight="1"/>
    <row r="170" ht="78" customHeight="1"/>
    <row r="171" ht="78" customHeight="1"/>
    <row r="172" ht="78" customHeight="1"/>
    <row r="173" ht="78" customHeight="1"/>
    <row r="174" ht="78" customHeight="1"/>
    <row r="175" ht="78" customHeight="1"/>
    <row r="176" ht="78" customHeight="1"/>
    <row r="177" ht="78" customHeight="1"/>
    <row r="178" ht="78" customHeight="1"/>
    <row r="179" ht="78" customHeight="1"/>
    <row r="180" ht="78" customHeight="1"/>
    <row r="181" ht="78" customHeight="1"/>
    <row r="182" ht="78" customHeight="1"/>
    <row r="183" ht="78" customHeight="1"/>
    <row r="184" ht="78" customHeight="1"/>
    <row r="185" ht="78" customHeight="1"/>
    <row r="186" ht="78" customHeight="1"/>
    <row r="187" ht="78" customHeight="1"/>
    <row r="188" ht="78" customHeight="1"/>
    <row r="189" ht="78" customHeight="1"/>
    <row r="190" ht="78" customHeight="1"/>
    <row r="191" ht="78" customHeight="1"/>
    <row r="192" ht="78" customHeight="1"/>
  </sheetData>
  <sheetProtection/>
  <autoFilter ref="A8:AA97"/>
  <mergeCells count="22">
    <mergeCell ref="A1:AA1"/>
    <mergeCell ref="A2:AA2"/>
    <mergeCell ref="A4:AA4"/>
    <mergeCell ref="A5:AA5"/>
    <mergeCell ref="A6:A7"/>
    <mergeCell ref="B6:B7"/>
    <mergeCell ref="U6:X6"/>
    <mergeCell ref="Y6:Y7"/>
    <mergeCell ref="Z6:Z7"/>
    <mergeCell ref="AA6:AA7"/>
    <mergeCell ref="A9:B9"/>
    <mergeCell ref="L6:L7"/>
    <mergeCell ref="M6:M7"/>
    <mergeCell ref="N6:O6"/>
    <mergeCell ref="H6:I6"/>
    <mergeCell ref="J6:K6"/>
    <mergeCell ref="M78:M80"/>
    <mergeCell ref="C6:E6"/>
    <mergeCell ref="F6:F7"/>
    <mergeCell ref="M74:M77"/>
    <mergeCell ref="G6:G7"/>
    <mergeCell ref="P6:T6"/>
  </mergeCells>
  <printOptions/>
  <pageMargins left="0.3937007874015748" right="0.3937007874015748" top="0.3937007874015748" bottom="0.3937007874015748" header="0.1181091426071741" footer="0.1181091426071741"/>
  <pageSetup horizontalDpi="600" verticalDpi="600" orientation="landscape" paperSize="8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1" sqref="S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F97"/>
  <sheetViews>
    <sheetView zoomScale="55" zoomScaleNormal="55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A9" sqref="A9:AA97"/>
    </sheetView>
  </sheetViews>
  <sheetFormatPr defaultColWidth="9.140625" defaultRowHeight="12.75"/>
  <cols>
    <col min="1" max="1" width="12.7109375" style="23" bestFit="1" customWidth="1"/>
    <col min="2" max="2" width="52.7109375" style="24" customWidth="1"/>
    <col min="3" max="3" width="8.28125" style="2" customWidth="1"/>
    <col min="4" max="4" width="9.7109375" style="2" customWidth="1"/>
    <col min="5" max="5" width="12.7109375" style="2" customWidth="1"/>
    <col min="6" max="6" width="10.28125" style="2" customWidth="1"/>
    <col min="7" max="8" width="11.28125" style="2" customWidth="1"/>
    <col min="9" max="11" width="12.7109375" style="2" customWidth="1"/>
    <col min="12" max="12" width="15.140625" style="25" customWidth="1"/>
    <col min="13" max="13" width="12.00390625" style="2" customWidth="1"/>
    <col min="14" max="14" width="10.28125" style="2" customWidth="1"/>
    <col min="15" max="15" width="19.421875" style="2" customWidth="1"/>
    <col min="16" max="16" width="15.28125" style="2" customWidth="1"/>
    <col min="17" max="17" width="11.57421875" style="2" customWidth="1"/>
    <col min="18" max="18" width="7.28125" style="2" customWidth="1"/>
    <col min="19" max="19" width="10.57421875" style="2" customWidth="1"/>
    <col min="20" max="20" width="17.28125" style="2" customWidth="1"/>
    <col min="21" max="21" width="17.00390625" style="2" customWidth="1"/>
    <col min="22" max="22" width="19.140625" style="2" customWidth="1"/>
    <col min="23" max="23" width="9.7109375" style="25" customWidth="1"/>
    <col min="24" max="24" width="18.8515625" style="19" customWidth="1"/>
    <col min="25" max="26" width="19.57421875" style="2" customWidth="1"/>
    <col min="27" max="27" width="15.140625" style="2" customWidth="1"/>
    <col min="28" max="29" width="9.140625" style="2" customWidth="1"/>
    <col min="30" max="30" width="20.00390625" style="2" customWidth="1"/>
    <col min="31" max="31" width="9.140625" style="2" customWidth="1"/>
    <col min="32" max="32" width="19.7109375" style="2" customWidth="1"/>
    <col min="33" max="16384" width="9.140625" style="2" customWidth="1"/>
  </cols>
  <sheetData>
    <row r="1" spans="1:31" ht="23.25" customHeight="1">
      <c r="A1" s="875" t="s">
        <v>153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  <c r="X1" s="875"/>
      <c r="Y1" s="875"/>
      <c r="Z1" s="875"/>
      <c r="AA1" s="875"/>
      <c r="AB1" s="20"/>
      <c r="AC1" s="104"/>
      <c r="AD1" s="104"/>
      <c r="AE1" s="104"/>
    </row>
    <row r="2" spans="1:31" ht="23.25" customHeight="1">
      <c r="A2" s="875" t="s">
        <v>48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20"/>
      <c r="AC2" s="104"/>
      <c r="AD2" s="104"/>
      <c r="AE2" s="104"/>
    </row>
    <row r="3" spans="1:31" ht="50.25" customHeight="1">
      <c r="A3" s="875" t="s">
        <v>33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  <c r="Z3" s="875"/>
      <c r="AA3" s="875"/>
      <c r="AB3" s="20"/>
      <c r="AC3" s="104"/>
      <c r="AD3" s="104"/>
      <c r="AE3" s="104"/>
    </row>
    <row r="4" spans="1:31" ht="24.75" customHeight="1" hidden="1">
      <c r="A4" s="876" t="s">
        <v>26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20"/>
      <c r="AC4" s="104"/>
      <c r="AD4" s="104"/>
      <c r="AE4" s="104"/>
    </row>
    <row r="5" spans="1:31" ht="30" customHeight="1" hidden="1">
      <c r="A5" s="3"/>
      <c r="B5" s="4">
        <v>100</v>
      </c>
      <c r="C5" s="249"/>
      <c r="D5" s="249"/>
      <c r="E5" s="5" t="s">
        <v>31</v>
      </c>
      <c r="F5" s="3"/>
      <c r="G5" s="249"/>
      <c r="H5" s="249"/>
      <c r="I5" s="249"/>
      <c r="J5" s="249"/>
      <c r="K5" s="249"/>
      <c r="L5" s="6"/>
      <c r="M5" s="7"/>
      <c r="N5" s="249"/>
      <c r="O5" s="249"/>
      <c r="P5" s="249"/>
      <c r="Q5" s="7"/>
      <c r="R5" s="249"/>
      <c r="S5" s="8"/>
      <c r="T5" s="249"/>
      <c r="U5" s="9"/>
      <c r="V5" s="249"/>
      <c r="W5" s="3"/>
      <c r="X5" s="8"/>
      <c r="Y5" s="249"/>
      <c r="Z5" s="249"/>
      <c r="AA5" s="6"/>
      <c r="AB5" s="20"/>
      <c r="AC5" s="104"/>
      <c r="AD5" s="104"/>
      <c r="AE5" s="104"/>
    </row>
    <row r="6" spans="1:31" ht="59.25" customHeight="1">
      <c r="A6" s="867" t="s">
        <v>2</v>
      </c>
      <c r="B6" s="877" t="s">
        <v>8</v>
      </c>
      <c r="C6" s="879" t="s">
        <v>27</v>
      </c>
      <c r="D6" s="880"/>
      <c r="E6" s="881"/>
      <c r="F6" s="867" t="s">
        <v>18</v>
      </c>
      <c r="G6" s="867" t="s">
        <v>9</v>
      </c>
      <c r="H6" s="866" t="s">
        <v>148</v>
      </c>
      <c r="I6" s="866"/>
      <c r="J6" s="866" t="s">
        <v>149</v>
      </c>
      <c r="K6" s="866"/>
      <c r="L6" s="867" t="s">
        <v>14</v>
      </c>
      <c r="M6" s="869" t="s">
        <v>15</v>
      </c>
      <c r="N6" s="871" t="s">
        <v>22</v>
      </c>
      <c r="O6" s="872"/>
      <c r="P6" s="871" t="s">
        <v>10</v>
      </c>
      <c r="Q6" s="873"/>
      <c r="R6" s="873"/>
      <c r="S6" s="873"/>
      <c r="T6" s="872"/>
      <c r="U6" s="874" t="s">
        <v>24</v>
      </c>
      <c r="V6" s="874"/>
      <c r="W6" s="874"/>
      <c r="X6" s="874"/>
      <c r="Y6" s="882" t="s">
        <v>16</v>
      </c>
      <c r="Z6" s="884" t="s">
        <v>17</v>
      </c>
      <c r="AA6" s="867" t="s">
        <v>7</v>
      </c>
      <c r="AB6" s="20"/>
      <c r="AC6" s="104"/>
      <c r="AD6" s="104"/>
      <c r="AE6" s="104"/>
    </row>
    <row r="7" spans="1:31" ht="183" customHeight="1">
      <c r="A7" s="868"/>
      <c r="B7" s="878"/>
      <c r="C7" s="247" t="s">
        <v>1</v>
      </c>
      <c r="D7" s="247" t="s">
        <v>3</v>
      </c>
      <c r="E7" s="10" t="s">
        <v>4</v>
      </c>
      <c r="F7" s="868"/>
      <c r="G7" s="868"/>
      <c r="H7" s="103" t="s">
        <v>147</v>
      </c>
      <c r="I7" s="1" t="s">
        <v>146</v>
      </c>
      <c r="J7" s="103" t="s">
        <v>147</v>
      </c>
      <c r="K7" s="1" t="s">
        <v>146</v>
      </c>
      <c r="L7" s="868"/>
      <c r="M7" s="870"/>
      <c r="N7" s="248" t="s">
        <v>12</v>
      </c>
      <c r="O7" s="11" t="s">
        <v>21</v>
      </c>
      <c r="P7" s="250" t="s">
        <v>11</v>
      </c>
      <c r="Q7" s="12" t="s">
        <v>20</v>
      </c>
      <c r="R7" s="250" t="s">
        <v>19</v>
      </c>
      <c r="S7" s="250" t="s">
        <v>12</v>
      </c>
      <c r="T7" s="13" t="s">
        <v>13</v>
      </c>
      <c r="U7" s="13" t="s">
        <v>28</v>
      </c>
      <c r="V7" s="13" t="s">
        <v>29</v>
      </c>
      <c r="W7" s="13" t="s">
        <v>25</v>
      </c>
      <c r="X7" s="250" t="s">
        <v>23</v>
      </c>
      <c r="Y7" s="883"/>
      <c r="Z7" s="885"/>
      <c r="AA7" s="868"/>
      <c r="AB7" s="20"/>
      <c r="AC7" s="104"/>
      <c r="AD7" s="104"/>
      <c r="AE7" s="104"/>
    </row>
    <row r="8" spans="1:31" ht="22.5" customHeight="1">
      <c r="A8" s="14">
        <v>1</v>
      </c>
      <c r="B8" s="15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/>
      <c r="I8" s="14"/>
      <c r="J8" s="14"/>
      <c r="K8" s="14"/>
      <c r="L8" s="14">
        <v>11</v>
      </c>
      <c r="M8" s="14">
        <v>12</v>
      </c>
      <c r="N8" s="14">
        <v>14</v>
      </c>
      <c r="O8" s="14">
        <v>15</v>
      </c>
      <c r="P8" s="14">
        <v>17</v>
      </c>
      <c r="Q8" s="14">
        <v>18</v>
      </c>
      <c r="R8" s="14">
        <v>19</v>
      </c>
      <c r="S8" s="14">
        <v>20</v>
      </c>
      <c r="T8" s="14">
        <v>21</v>
      </c>
      <c r="U8" s="14">
        <v>22</v>
      </c>
      <c r="V8" s="14">
        <v>23</v>
      </c>
      <c r="W8" s="14">
        <v>25</v>
      </c>
      <c r="X8" s="14">
        <v>26</v>
      </c>
      <c r="Y8" s="16">
        <v>27</v>
      </c>
      <c r="Z8" s="14">
        <v>28</v>
      </c>
      <c r="AA8" s="14">
        <v>29</v>
      </c>
      <c r="AB8" s="20"/>
      <c r="AC8" s="104"/>
      <c r="AD8" s="104"/>
      <c r="AE8" s="104"/>
    </row>
    <row r="9" spans="1:31" s="43" customFormat="1" ht="66.75" customHeight="1">
      <c r="A9" s="860" t="s">
        <v>151</v>
      </c>
      <c r="B9" s="861"/>
      <c r="C9" s="60"/>
      <c r="D9" s="60"/>
      <c r="E9" s="60"/>
      <c r="F9" s="60"/>
      <c r="G9" s="60"/>
      <c r="H9" s="33">
        <f aca="true" t="shared" si="0" ref="H9:M9">H10+H39+H86+H94</f>
        <v>8893</v>
      </c>
      <c r="I9" s="33">
        <f t="shared" si="0"/>
        <v>6047.000000000001</v>
      </c>
      <c r="J9" s="33">
        <f t="shared" si="0"/>
        <v>16.5</v>
      </c>
      <c r="K9" s="33">
        <f t="shared" si="0"/>
        <v>136.1</v>
      </c>
      <c r="L9" s="33">
        <f t="shared" si="0"/>
        <v>15092.6</v>
      </c>
      <c r="M9" s="33">
        <f t="shared" si="0"/>
        <v>15092.6</v>
      </c>
      <c r="N9" s="33"/>
      <c r="O9" s="33"/>
      <c r="P9" s="33"/>
      <c r="Q9" s="33">
        <f>Q10+Q39+Q86+Q94</f>
        <v>15092.6</v>
      </c>
      <c r="R9" s="33"/>
      <c r="S9" s="33"/>
      <c r="T9" s="105">
        <f aca="true" t="shared" si="1" ref="T9:Z9">T10+T39+T86+T94</f>
        <v>147034240</v>
      </c>
      <c r="U9" s="105">
        <f t="shared" si="1"/>
        <v>136345000</v>
      </c>
      <c r="V9" s="105">
        <f t="shared" si="1"/>
        <v>2716668000</v>
      </c>
      <c r="W9" s="105">
        <f t="shared" si="1"/>
        <v>60</v>
      </c>
      <c r="X9" s="105">
        <f t="shared" si="1"/>
        <v>210000000</v>
      </c>
      <c r="Y9" s="105">
        <f t="shared" si="1"/>
        <v>4130184240</v>
      </c>
      <c r="Z9" s="105">
        <f t="shared" si="1"/>
        <v>4130184240</v>
      </c>
      <c r="AA9" s="63"/>
      <c r="AB9" s="42"/>
      <c r="AC9" s="120"/>
      <c r="AD9" s="120"/>
      <c r="AE9" s="120"/>
    </row>
    <row r="10" spans="1:32" s="123" customFormat="1" ht="47.25" customHeight="1">
      <c r="A10" s="30" t="s">
        <v>84</v>
      </c>
      <c r="B10" s="56" t="s">
        <v>34</v>
      </c>
      <c r="C10" s="30"/>
      <c r="D10" s="30"/>
      <c r="E10" s="64"/>
      <c r="F10" s="30"/>
      <c r="G10" s="33"/>
      <c r="H10" s="33">
        <f>SUM(H11:H38)</f>
        <v>4439.5</v>
      </c>
      <c r="I10" s="33">
        <f>SUM(I11:I38)</f>
        <v>125.79999999999998</v>
      </c>
      <c r="J10" s="33">
        <f>SUM(J11:J38)</f>
        <v>0.7999999999999999</v>
      </c>
      <c r="K10" s="33">
        <f>SUM(K11:K38)</f>
        <v>0</v>
      </c>
      <c r="L10" s="33">
        <f>SUM(L11:L38)</f>
        <v>4566.099999999999</v>
      </c>
      <c r="M10" s="33">
        <f aca="true" t="shared" si="2" ref="M10:Z10">SUM(M11:M38)</f>
        <v>4566.099999999999</v>
      </c>
      <c r="N10" s="33"/>
      <c r="O10" s="105">
        <f t="shared" si="2"/>
        <v>273966000</v>
      </c>
      <c r="P10" s="33"/>
      <c r="Q10" s="33">
        <f t="shared" si="2"/>
        <v>4566.099999999999</v>
      </c>
      <c r="R10" s="33">
        <f t="shared" si="2"/>
        <v>0</v>
      </c>
      <c r="S10" s="33"/>
      <c r="T10" s="105">
        <f t="shared" si="2"/>
        <v>43377950</v>
      </c>
      <c r="U10" s="105">
        <f t="shared" si="2"/>
        <v>45661000</v>
      </c>
      <c r="V10" s="105">
        <f t="shared" si="2"/>
        <v>821898000</v>
      </c>
      <c r="W10" s="105">
        <f>SUM(W11:W38)</f>
        <v>15</v>
      </c>
      <c r="X10" s="105">
        <f t="shared" si="2"/>
        <v>52500000</v>
      </c>
      <c r="Y10" s="105">
        <f t="shared" si="2"/>
        <v>1237402950</v>
      </c>
      <c r="Z10" s="105">
        <f t="shared" si="2"/>
        <v>1237402950</v>
      </c>
      <c r="AA10" s="65"/>
      <c r="AB10" s="121"/>
      <c r="AC10" s="122"/>
      <c r="AD10" s="122"/>
      <c r="AE10" s="122"/>
      <c r="AF10" s="122"/>
    </row>
    <row r="11" spans="1:32" s="190" customFormat="1" ht="63.75" customHeight="1">
      <c r="A11" s="176">
        <v>1</v>
      </c>
      <c r="B11" s="177" t="s">
        <v>154</v>
      </c>
      <c r="C11" s="178">
        <v>71</v>
      </c>
      <c r="D11" s="178">
        <v>54</v>
      </c>
      <c r="E11" s="179">
        <v>400.6</v>
      </c>
      <c r="F11" s="176" t="s">
        <v>0</v>
      </c>
      <c r="G11" s="180" t="s">
        <v>32</v>
      </c>
      <c r="H11" s="181">
        <v>392.5</v>
      </c>
      <c r="I11" s="181">
        <f>E11-H11</f>
        <v>8.100000000000023</v>
      </c>
      <c r="J11" s="181"/>
      <c r="K11" s="181"/>
      <c r="L11" s="182">
        <f>H11+I11+J11+K11</f>
        <v>400.6</v>
      </c>
      <c r="M11" s="183">
        <f>SUM(L11:L17)</f>
        <v>717.8000000000001</v>
      </c>
      <c r="N11" s="184">
        <v>60000</v>
      </c>
      <c r="O11" s="184">
        <f aca="true" t="shared" si="3" ref="O11:O38">L11*N11</f>
        <v>24036000</v>
      </c>
      <c r="P11" s="182" t="s">
        <v>30</v>
      </c>
      <c r="Q11" s="182">
        <f aca="true" t="shared" si="4" ref="Q11:Q38">L11</f>
        <v>400.6</v>
      </c>
      <c r="R11" s="182" t="s">
        <v>39</v>
      </c>
      <c r="S11" s="184">
        <v>9500</v>
      </c>
      <c r="T11" s="184">
        <f aca="true" t="shared" si="5" ref="T11:T38">Q11*S11</f>
        <v>3805700</v>
      </c>
      <c r="U11" s="184">
        <f>L11*10000</f>
        <v>4006000</v>
      </c>
      <c r="V11" s="184">
        <f aca="true" t="shared" si="6" ref="V11:V38">L11*N11*3</f>
        <v>72108000</v>
      </c>
      <c r="W11" s="184">
        <f>INT(M11/201.6)</f>
        <v>3</v>
      </c>
      <c r="X11" s="185">
        <f>W11*3500000</f>
        <v>10500000</v>
      </c>
      <c r="Y11" s="186">
        <f aca="true" t="shared" si="7" ref="Y11:Y38">O11+T11+U11+V11+X11</f>
        <v>114455700</v>
      </c>
      <c r="Z11" s="187">
        <f>SUM(Y11:Y17)</f>
        <v>196769100</v>
      </c>
      <c r="AA11" s="176"/>
      <c r="AB11" s="188"/>
      <c r="AC11" s="189"/>
      <c r="AD11" s="122"/>
      <c r="AE11" s="122"/>
      <c r="AF11" s="122"/>
    </row>
    <row r="12" spans="1:32" s="195" customFormat="1" ht="63.75" customHeight="1">
      <c r="A12" s="176">
        <v>1</v>
      </c>
      <c r="B12" s="177" t="s">
        <v>154</v>
      </c>
      <c r="C12" s="178">
        <v>71</v>
      </c>
      <c r="D12" s="178">
        <v>71</v>
      </c>
      <c r="E12" s="179">
        <v>126.7</v>
      </c>
      <c r="F12" s="176" t="s">
        <v>0</v>
      </c>
      <c r="G12" s="180" t="s">
        <v>32</v>
      </c>
      <c r="H12" s="181">
        <f>E12</f>
        <v>126.7</v>
      </c>
      <c r="I12" s="181"/>
      <c r="J12" s="181"/>
      <c r="K12" s="181"/>
      <c r="L12" s="182">
        <f>H12+I12+J12+K12</f>
        <v>126.7</v>
      </c>
      <c r="M12" s="191"/>
      <c r="N12" s="184">
        <v>60000</v>
      </c>
      <c r="O12" s="184">
        <f t="shared" si="3"/>
        <v>7602000</v>
      </c>
      <c r="P12" s="182" t="s">
        <v>30</v>
      </c>
      <c r="Q12" s="182">
        <f t="shared" si="4"/>
        <v>126.7</v>
      </c>
      <c r="R12" s="182" t="s">
        <v>39</v>
      </c>
      <c r="S12" s="184">
        <v>9500</v>
      </c>
      <c r="T12" s="184">
        <f t="shared" si="5"/>
        <v>1203650</v>
      </c>
      <c r="U12" s="184">
        <f>L12*10000</f>
        <v>1267000</v>
      </c>
      <c r="V12" s="184">
        <f t="shared" si="6"/>
        <v>22806000</v>
      </c>
      <c r="W12" s="184">
        <f aca="true" t="shared" si="8" ref="W12:W38">INT(M12/201.6)</f>
        <v>0</v>
      </c>
      <c r="X12" s="185">
        <f aca="true" t="shared" si="9" ref="X12:X38">W12*3500000</f>
        <v>0</v>
      </c>
      <c r="Y12" s="186">
        <f t="shared" si="7"/>
        <v>32878650</v>
      </c>
      <c r="Z12" s="192"/>
      <c r="AA12" s="176"/>
      <c r="AB12" s="193"/>
      <c r="AC12" s="194"/>
      <c r="AD12" s="122"/>
      <c r="AE12" s="122"/>
      <c r="AF12" s="122"/>
    </row>
    <row r="13" spans="1:32" s="199" customFormat="1" ht="63.75" customHeight="1">
      <c r="A13" s="176">
        <v>1</v>
      </c>
      <c r="B13" s="177" t="s">
        <v>154</v>
      </c>
      <c r="C13" s="178">
        <v>71</v>
      </c>
      <c r="D13" s="178">
        <v>72</v>
      </c>
      <c r="E13" s="196">
        <v>135.9</v>
      </c>
      <c r="F13" s="176" t="s">
        <v>0</v>
      </c>
      <c r="G13" s="180" t="s">
        <v>32</v>
      </c>
      <c r="H13" s="181">
        <f>236.3-126.7</f>
        <v>109.60000000000001</v>
      </c>
      <c r="I13" s="181">
        <f>E13-H13</f>
        <v>26.299999999999997</v>
      </c>
      <c r="J13" s="181"/>
      <c r="K13" s="181"/>
      <c r="L13" s="182">
        <f aca="true" t="shared" si="10" ref="L13:L38">H13+I13+J13+K13</f>
        <v>135.9</v>
      </c>
      <c r="M13" s="191"/>
      <c r="N13" s="184">
        <v>60000</v>
      </c>
      <c r="O13" s="184">
        <f t="shared" si="3"/>
        <v>8154000</v>
      </c>
      <c r="P13" s="182" t="s">
        <v>30</v>
      </c>
      <c r="Q13" s="182">
        <f t="shared" si="4"/>
        <v>135.9</v>
      </c>
      <c r="R13" s="182" t="s">
        <v>39</v>
      </c>
      <c r="S13" s="184">
        <v>9500</v>
      </c>
      <c r="T13" s="184">
        <f t="shared" si="5"/>
        <v>1291050</v>
      </c>
      <c r="U13" s="184">
        <f aca="true" t="shared" si="11" ref="U13:U38">L13*10000</f>
        <v>1359000</v>
      </c>
      <c r="V13" s="184">
        <f t="shared" si="6"/>
        <v>24462000</v>
      </c>
      <c r="W13" s="184">
        <f t="shared" si="8"/>
        <v>0</v>
      </c>
      <c r="X13" s="185">
        <f t="shared" si="9"/>
        <v>0</v>
      </c>
      <c r="Y13" s="186">
        <f t="shared" si="7"/>
        <v>35266050</v>
      </c>
      <c r="Z13" s="192"/>
      <c r="AA13" s="197" t="s">
        <v>71</v>
      </c>
      <c r="AB13" s="198"/>
      <c r="AD13" s="122"/>
      <c r="AE13" s="122"/>
      <c r="AF13" s="122"/>
    </row>
    <row r="14" spans="1:32" s="199" customFormat="1" ht="63.75" customHeight="1">
      <c r="A14" s="176">
        <v>1</v>
      </c>
      <c r="B14" s="177" t="s">
        <v>154</v>
      </c>
      <c r="C14" s="200">
        <v>71</v>
      </c>
      <c r="D14" s="200">
        <v>56</v>
      </c>
      <c r="E14" s="200">
        <v>263</v>
      </c>
      <c r="F14" s="176" t="s">
        <v>0</v>
      </c>
      <c r="G14" s="180" t="s">
        <v>32</v>
      </c>
      <c r="H14" s="181"/>
      <c r="I14" s="181">
        <f>40.7</f>
        <v>40.7</v>
      </c>
      <c r="J14" s="181"/>
      <c r="K14" s="181"/>
      <c r="L14" s="182">
        <f t="shared" si="10"/>
        <v>40.7</v>
      </c>
      <c r="M14" s="191"/>
      <c r="N14" s="184">
        <v>60000</v>
      </c>
      <c r="O14" s="184">
        <f t="shared" si="3"/>
        <v>2442000</v>
      </c>
      <c r="P14" s="182" t="s">
        <v>30</v>
      </c>
      <c r="Q14" s="182">
        <f t="shared" si="4"/>
        <v>40.7</v>
      </c>
      <c r="R14" s="182" t="s">
        <v>38</v>
      </c>
      <c r="S14" s="184">
        <v>9500</v>
      </c>
      <c r="T14" s="184">
        <f t="shared" si="5"/>
        <v>386650</v>
      </c>
      <c r="U14" s="184">
        <f t="shared" si="11"/>
        <v>407000</v>
      </c>
      <c r="V14" s="184">
        <f t="shared" si="6"/>
        <v>7326000</v>
      </c>
      <c r="W14" s="184">
        <f t="shared" si="8"/>
        <v>0</v>
      </c>
      <c r="X14" s="185">
        <f t="shared" si="9"/>
        <v>0</v>
      </c>
      <c r="Y14" s="186">
        <f t="shared" si="7"/>
        <v>10561650</v>
      </c>
      <c r="Z14" s="192"/>
      <c r="AA14" s="200" t="s">
        <v>71</v>
      </c>
      <c r="AD14" s="122"/>
      <c r="AE14" s="122"/>
      <c r="AF14" s="122"/>
    </row>
    <row r="15" spans="1:30" s="199" customFormat="1" ht="63.75" customHeight="1">
      <c r="A15" s="176">
        <v>1</v>
      </c>
      <c r="B15" s="177" t="s">
        <v>154</v>
      </c>
      <c r="C15" s="202">
        <v>71</v>
      </c>
      <c r="D15" s="196">
        <v>57</v>
      </c>
      <c r="E15" s="196">
        <v>313.9</v>
      </c>
      <c r="F15" s="176" t="s">
        <v>0</v>
      </c>
      <c r="G15" s="180" t="s">
        <v>32</v>
      </c>
      <c r="H15" s="181"/>
      <c r="I15" s="181">
        <v>2.2</v>
      </c>
      <c r="J15" s="181"/>
      <c r="K15" s="181"/>
      <c r="L15" s="182">
        <f t="shared" si="10"/>
        <v>2.2</v>
      </c>
      <c r="M15" s="191"/>
      <c r="N15" s="184">
        <v>60000</v>
      </c>
      <c r="O15" s="184">
        <f t="shared" si="3"/>
        <v>132000</v>
      </c>
      <c r="P15" s="182" t="s">
        <v>30</v>
      </c>
      <c r="Q15" s="182">
        <f t="shared" si="4"/>
        <v>2.2</v>
      </c>
      <c r="R15" s="182" t="s">
        <v>38</v>
      </c>
      <c r="S15" s="184">
        <v>9500</v>
      </c>
      <c r="T15" s="184">
        <f t="shared" si="5"/>
        <v>20900</v>
      </c>
      <c r="U15" s="184">
        <f t="shared" si="11"/>
        <v>22000</v>
      </c>
      <c r="V15" s="184">
        <f t="shared" si="6"/>
        <v>396000</v>
      </c>
      <c r="W15" s="184">
        <f t="shared" si="8"/>
        <v>0</v>
      </c>
      <c r="X15" s="185">
        <f t="shared" si="9"/>
        <v>0</v>
      </c>
      <c r="Y15" s="186">
        <f t="shared" si="7"/>
        <v>570900</v>
      </c>
      <c r="Z15" s="192"/>
      <c r="AA15" s="200"/>
      <c r="AD15" s="201">
        <f>AD14-Z9</f>
        <v>-4130184240</v>
      </c>
    </row>
    <row r="16" spans="1:27" s="199" customFormat="1" ht="63.75" customHeight="1">
      <c r="A16" s="176">
        <v>1</v>
      </c>
      <c r="B16" s="177" t="s">
        <v>154</v>
      </c>
      <c r="C16" s="202">
        <v>71</v>
      </c>
      <c r="D16" s="196">
        <v>125</v>
      </c>
      <c r="E16" s="196">
        <v>58.1</v>
      </c>
      <c r="F16" s="176" t="s">
        <v>101</v>
      </c>
      <c r="G16" s="180" t="s">
        <v>32</v>
      </c>
      <c r="H16" s="181"/>
      <c r="I16" s="181">
        <v>3.3</v>
      </c>
      <c r="J16" s="180"/>
      <c r="K16" s="181"/>
      <c r="L16" s="182">
        <f t="shared" si="10"/>
        <v>3.3</v>
      </c>
      <c r="M16" s="191"/>
      <c r="N16" s="184">
        <v>60000</v>
      </c>
      <c r="O16" s="184">
        <f t="shared" si="3"/>
        <v>198000</v>
      </c>
      <c r="P16" s="182" t="s">
        <v>30</v>
      </c>
      <c r="Q16" s="182">
        <f t="shared" si="4"/>
        <v>3.3</v>
      </c>
      <c r="R16" s="182" t="s">
        <v>38</v>
      </c>
      <c r="S16" s="184">
        <v>9500</v>
      </c>
      <c r="T16" s="184">
        <f t="shared" si="5"/>
        <v>31350</v>
      </c>
      <c r="U16" s="184">
        <f t="shared" si="11"/>
        <v>33000</v>
      </c>
      <c r="V16" s="184">
        <f t="shared" si="6"/>
        <v>594000</v>
      </c>
      <c r="W16" s="184">
        <f t="shared" si="8"/>
        <v>0</v>
      </c>
      <c r="X16" s="185">
        <f t="shared" si="9"/>
        <v>0</v>
      </c>
      <c r="Y16" s="186">
        <f t="shared" si="7"/>
        <v>856350</v>
      </c>
      <c r="Z16" s="192"/>
      <c r="AA16" s="200"/>
    </row>
    <row r="17" spans="1:31" s="26" customFormat="1" ht="63.75" customHeight="1">
      <c r="A17" s="176">
        <v>1</v>
      </c>
      <c r="B17" s="177" t="s">
        <v>154</v>
      </c>
      <c r="C17" s="178">
        <v>71</v>
      </c>
      <c r="D17" s="178">
        <v>73</v>
      </c>
      <c r="E17" s="179">
        <v>325.9</v>
      </c>
      <c r="F17" s="203" t="s">
        <v>0</v>
      </c>
      <c r="G17" s="180" t="s">
        <v>32</v>
      </c>
      <c r="H17" s="181"/>
      <c r="I17" s="181">
        <v>8.4</v>
      </c>
      <c r="J17" s="204"/>
      <c r="K17" s="181"/>
      <c r="L17" s="182">
        <f t="shared" si="10"/>
        <v>8.4</v>
      </c>
      <c r="M17" s="205"/>
      <c r="N17" s="184">
        <v>60000</v>
      </c>
      <c r="O17" s="184">
        <f>L17*N17</f>
        <v>504000</v>
      </c>
      <c r="P17" s="182" t="s">
        <v>30</v>
      </c>
      <c r="Q17" s="182">
        <f>L17</f>
        <v>8.4</v>
      </c>
      <c r="R17" s="182" t="s">
        <v>80</v>
      </c>
      <c r="S17" s="184">
        <v>9500</v>
      </c>
      <c r="T17" s="184">
        <f>Q17*S17</f>
        <v>79800</v>
      </c>
      <c r="U17" s="184">
        <f>L17*10000</f>
        <v>84000</v>
      </c>
      <c r="V17" s="184">
        <f>L17*N17*3</f>
        <v>1512000</v>
      </c>
      <c r="W17" s="184">
        <f t="shared" si="8"/>
        <v>0</v>
      </c>
      <c r="X17" s="185">
        <f t="shared" si="9"/>
        <v>0</v>
      </c>
      <c r="Y17" s="186">
        <f t="shared" si="7"/>
        <v>2179800</v>
      </c>
      <c r="Z17" s="206"/>
      <c r="AA17" s="207"/>
      <c r="AB17" s="208"/>
      <c r="AC17" s="209"/>
      <c r="AD17" s="209"/>
      <c r="AE17" s="209"/>
    </row>
    <row r="18" spans="1:27" s="208" customFormat="1" ht="63.75" customHeight="1">
      <c r="A18" s="196">
        <v>2</v>
      </c>
      <c r="B18" s="177" t="s">
        <v>155</v>
      </c>
      <c r="C18" s="200">
        <v>71</v>
      </c>
      <c r="D18" s="200">
        <v>56</v>
      </c>
      <c r="E18" s="200">
        <v>263</v>
      </c>
      <c r="F18" s="176" t="s">
        <v>0</v>
      </c>
      <c r="G18" s="180" t="s">
        <v>32</v>
      </c>
      <c r="H18" s="181">
        <v>189.2</v>
      </c>
      <c r="I18" s="181"/>
      <c r="J18" s="181"/>
      <c r="K18" s="181"/>
      <c r="L18" s="182">
        <f t="shared" si="10"/>
        <v>189.2</v>
      </c>
      <c r="M18" s="205">
        <f>L18</f>
        <v>189.2</v>
      </c>
      <c r="N18" s="184">
        <v>60000</v>
      </c>
      <c r="O18" s="184">
        <f t="shared" si="3"/>
        <v>11352000</v>
      </c>
      <c r="P18" s="182" t="s">
        <v>30</v>
      </c>
      <c r="Q18" s="182">
        <f t="shared" si="4"/>
        <v>189.2</v>
      </c>
      <c r="R18" s="182" t="s">
        <v>38</v>
      </c>
      <c r="S18" s="184">
        <v>9500</v>
      </c>
      <c r="T18" s="184">
        <f t="shared" si="5"/>
        <v>1797400</v>
      </c>
      <c r="U18" s="184">
        <f t="shared" si="11"/>
        <v>1892000</v>
      </c>
      <c r="V18" s="184">
        <f t="shared" si="6"/>
        <v>34056000</v>
      </c>
      <c r="W18" s="184">
        <f t="shared" si="8"/>
        <v>0</v>
      </c>
      <c r="X18" s="185">
        <f t="shared" si="9"/>
        <v>0</v>
      </c>
      <c r="Y18" s="186">
        <f t="shared" si="7"/>
        <v>49097400</v>
      </c>
      <c r="Z18" s="210">
        <f>Y18</f>
        <v>49097400</v>
      </c>
      <c r="AA18" s="200" t="s">
        <v>71</v>
      </c>
    </row>
    <row r="19" spans="1:27" s="199" customFormat="1" ht="63.75" customHeight="1">
      <c r="A19" s="196">
        <v>3</v>
      </c>
      <c r="B19" s="211" t="s">
        <v>156</v>
      </c>
      <c r="C19" s="202">
        <v>71</v>
      </c>
      <c r="D19" s="196">
        <v>57</v>
      </c>
      <c r="E19" s="196">
        <v>313.9</v>
      </c>
      <c r="F19" s="176" t="s">
        <v>0</v>
      </c>
      <c r="G19" s="180" t="s">
        <v>32</v>
      </c>
      <c r="H19" s="181">
        <v>251</v>
      </c>
      <c r="I19" s="181"/>
      <c r="J19" s="181"/>
      <c r="K19" s="181"/>
      <c r="L19" s="182">
        <f t="shared" si="10"/>
        <v>251</v>
      </c>
      <c r="M19" s="205">
        <f>L19</f>
        <v>251</v>
      </c>
      <c r="N19" s="184">
        <v>60000</v>
      </c>
      <c r="O19" s="184">
        <f t="shared" si="3"/>
        <v>15060000</v>
      </c>
      <c r="P19" s="182" t="s">
        <v>30</v>
      </c>
      <c r="Q19" s="182">
        <f t="shared" si="4"/>
        <v>251</v>
      </c>
      <c r="R19" s="182" t="s">
        <v>38</v>
      </c>
      <c r="S19" s="184">
        <v>9500</v>
      </c>
      <c r="T19" s="184">
        <f t="shared" si="5"/>
        <v>2384500</v>
      </c>
      <c r="U19" s="184">
        <f t="shared" si="11"/>
        <v>2510000</v>
      </c>
      <c r="V19" s="184">
        <f t="shared" si="6"/>
        <v>45180000</v>
      </c>
      <c r="W19" s="184">
        <f t="shared" si="8"/>
        <v>1</v>
      </c>
      <c r="X19" s="185">
        <f t="shared" si="9"/>
        <v>3500000</v>
      </c>
      <c r="Y19" s="186">
        <f t="shared" si="7"/>
        <v>68634500</v>
      </c>
      <c r="Z19" s="210">
        <f>Y19</f>
        <v>68634500</v>
      </c>
      <c r="AA19" s="200" t="s">
        <v>71</v>
      </c>
    </row>
    <row r="20" spans="1:31" s="26" customFormat="1" ht="63.75" customHeight="1">
      <c r="A20" s="196">
        <v>4</v>
      </c>
      <c r="B20" s="177" t="s">
        <v>157</v>
      </c>
      <c r="C20" s="200">
        <v>71</v>
      </c>
      <c r="D20" s="200">
        <v>56</v>
      </c>
      <c r="E20" s="200">
        <v>263</v>
      </c>
      <c r="F20" s="176" t="s">
        <v>0</v>
      </c>
      <c r="G20" s="180" t="s">
        <v>32</v>
      </c>
      <c r="H20" s="181">
        <v>33.1</v>
      </c>
      <c r="I20" s="181"/>
      <c r="J20" s="181"/>
      <c r="K20" s="181"/>
      <c r="L20" s="182">
        <f t="shared" si="10"/>
        <v>33.1</v>
      </c>
      <c r="M20" s="183">
        <f>SUM(L20:L21)</f>
        <v>274.3</v>
      </c>
      <c r="N20" s="184">
        <v>60000</v>
      </c>
      <c r="O20" s="184">
        <f t="shared" si="3"/>
        <v>1986000</v>
      </c>
      <c r="P20" s="182" t="s">
        <v>30</v>
      </c>
      <c r="Q20" s="182">
        <f t="shared" si="4"/>
        <v>33.1</v>
      </c>
      <c r="R20" s="182" t="s">
        <v>38</v>
      </c>
      <c r="S20" s="184">
        <v>9500</v>
      </c>
      <c r="T20" s="184">
        <f t="shared" si="5"/>
        <v>314450</v>
      </c>
      <c r="U20" s="184">
        <f t="shared" si="11"/>
        <v>331000</v>
      </c>
      <c r="V20" s="184">
        <f t="shared" si="6"/>
        <v>5958000</v>
      </c>
      <c r="W20" s="184">
        <f t="shared" si="8"/>
        <v>1</v>
      </c>
      <c r="X20" s="185">
        <f t="shared" si="9"/>
        <v>3500000</v>
      </c>
      <c r="Y20" s="186">
        <f t="shared" si="7"/>
        <v>12089450</v>
      </c>
      <c r="Z20" s="187">
        <f>SUM(Y20:Y21)</f>
        <v>74680850</v>
      </c>
      <c r="AA20" s="200" t="s">
        <v>71</v>
      </c>
      <c r="AB20" s="208"/>
      <c r="AC20" s="209"/>
      <c r="AD20" s="209"/>
      <c r="AE20" s="209"/>
    </row>
    <row r="21" spans="1:31" s="26" customFormat="1" ht="63.75" customHeight="1">
      <c r="A21" s="196">
        <v>4</v>
      </c>
      <c r="B21" s="177" t="s">
        <v>157</v>
      </c>
      <c r="C21" s="200">
        <v>71</v>
      </c>
      <c r="D21" s="200">
        <v>55</v>
      </c>
      <c r="E21" s="200">
        <v>241.2</v>
      </c>
      <c r="F21" s="176" t="s">
        <v>0</v>
      </c>
      <c r="G21" s="180" t="s">
        <v>32</v>
      </c>
      <c r="H21" s="181">
        <v>241.2</v>
      </c>
      <c r="I21" s="181"/>
      <c r="J21" s="181"/>
      <c r="K21" s="181"/>
      <c r="L21" s="182">
        <f t="shared" si="10"/>
        <v>241.2</v>
      </c>
      <c r="M21" s="205"/>
      <c r="N21" s="184">
        <v>60000</v>
      </c>
      <c r="O21" s="184">
        <f t="shared" si="3"/>
        <v>14472000</v>
      </c>
      <c r="P21" s="182" t="s">
        <v>30</v>
      </c>
      <c r="Q21" s="182">
        <f t="shared" si="4"/>
        <v>241.2</v>
      </c>
      <c r="R21" s="182" t="s">
        <v>38</v>
      </c>
      <c r="S21" s="184">
        <v>9500</v>
      </c>
      <c r="T21" s="184">
        <f t="shared" si="5"/>
        <v>2291400</v>
      </c>
      <c r="U21" s="184">
        <f t="shared" si="11"/>
        <v>2412000</v>
      </c>
      <c r="V21" s="184">
        <f t="shared" si="6"/>
        <v>43416000</v>
      </c>
      <c r="W21" s="184">
        <f t="shared" si="8"/>
        <v>0</v>
      </c>
      <c r="X21" s="185">
        <f t="shared" si="9"/>
        <v>0</v>
      </c>
      <c r="Y21" s="186">
        <f t="shared" si="7"/>
        <v>62591400</v>
      </c>
      <c r="Z21" s="206"/>
      <c r="AA21" s="200"/>
      <c r="AB21" s="208"/>
      <c r="AC21" s="209"/>
      <c r="AD21" s="209"/>
      <c r="AE21" s="209"/>
    </row>
    <row r="22" spans="1:31" s="26" customFormat="1" ht="63.75" customHeight="1">
      <c r="A22" s="200">
        <v>5</v>
      </c>
      <c r="B22" s="177" t="s">
        <v>35</v>
      </c>
      <c r="C22" s="200">
        <v>71</v>
      </c>
      <c r="D22" s="200">
        <v>36</v>
      </c>
      <c r="E22" s="202">
        <v>364.4</v>
      </c>
      <c r="F22" s="176" t="s">
        <v>0</v>
      </c>
      <c r="G22" s="180" t="s">
        <v>32</v>
      </c>
      <c r="H22" s="181">
        <v>317.6</v>
      </c>
      <c r="I22" s="181">
        <f>338.9-H22</f>
        <v>21.299999999999955</v>
      </c>
      <c r="J22" s="181"/>
      <c r="K22" s="181"/>
      <c r="L22" s="182">
        <f t="shared" si="10"/>
        <v>338.9</v>
      </c>
      <c r="M22" s="205">
        <f>L22</f>
        <v>338.9</v>
      </c>
      <c r="N22" s="184">
        <v>60000</v>
      </c>
      <c r="O22" s="184">
        <f t="shared" si="3"/>
        <v>20334000</v>
      </c>
      <c r="P22" s="182" t="s">
        <v>30</v>
      </c>
      <c r="Q22" s="182">
        <f t="shared" si="4"/>
        <v>338.9</v>
      </c>
      <c r="R22" s="182" t="s">
        <v>38</v>
      </c>
      <c r="S22" s="184">
        <v>9500</v>
      </c>
      <c r="T22" s="184">
        <f t="shared" si="5"/>
        <v>3219550</v>
      </c>
      <c r="U22" s="184">
        <f t="shared" si="11"/>
        <v>3389000</v>
      </c>
      <c r="V22" s="184">
        <f t="shared" si="6"/>
        <v>61002000</v>
      </c>
      <c r="W22" s="184">
        <f t="shared" si="8"/>
        <v>1</v>
      </c>
      <c r="X22" s="185">
        <f t="shared" si="9"/>
        <v>3500000</v>
      </c>
      <c r="Y22" s="186">
        <f t="shared" si="7"/>
        <v>91444550</v>
      </c>
      <c r="Z22" s="210">
        <f>Y22</f>
        <v>91444550</v>
      </c>
      <c r="AA22" s="200"/>
      <c r="AB22" s="208"/>
      <c r="AC22" s="209"/>
      <c r="AD22" s="209"/>
      <c r="AE22" s="209"/>
    </row>
    <row r="23" spans="1:31" s="26" customFormat="1" ht="63.75" customHeight="1">
      <c r="A23" s="196">
        <v>6</v>
      </c>
      <c r="B23" s="177" t="s">
        <v>158</v>
      </c>
      <c r="C23" s="200">
        <v>71</v>
      </c>
      <c r="D23" s="200">
        <v>90</v>
      </c>
      <c r="E23" s="200">
        <v>397.8</v>
      </c>
      <c r="F23" s="176" t="s">
        <v>0</v>
      </c>
      <c r="G23" s="180" t="s">
        <v>32</v>
      </c>
      <c r="H23" s="181">
        <f>E23</f>
        <v>397.8</v>
      </c>
      <c r="I23" s="181"/>
      <c r="J23" s="181"/>
      <c r="K23" s="180"/>
      <c r="L23" s="182">
        <f t="shared" si="10"/>
        <v>397.8</v>
      </c>
      <c r="M23" s="205">
        <f>L23</f>
        <v>397.8</v>
      </c>
      <c r="N23" s="184">
        <v>60000</v>
      </c>
      <c r="O23" s="184">
        <f t="shared" si="3"/>
        <v>23868000</v>
      </c>
      <c r="P23" s="182" t="s">
        <v>30</v>
      </c>
      <c r="Q23" s="182">
        <f t="shared" si="4"/>
        <v>397.8</v>
      </c>
      <c r="R23" s="182" t="s">
        <v>38</v>
      </c>
      <c r="S23" s="184">
        <v>9500</v>
      </c>
      <c r="T23" s="184">
        <f t="shared" si="5"/>
        <v>3779100</v>
      </c>
      <c r="U23" s="184">
        <f t="shared" si="11"/>
        <v>3978000</v>
      </c>
      <c r="V23" s="184">
        <f t="shared" si="6"/>
        <v>71604000</v>
      </c>
      <c r="W23" s="184">
        <f t="shared" si="8"/>
        <v>1</v>
      </c>
      <c r="X23" s="185">
        <f t="shared" si="9"/>
        <v>3500000</v>
      </c>
      <c r="Y23" s="186">
        <f t="shared" si="7"/>
        <v>106729100</v>
      </c>
      <c r="Z23" s="210">
        <f>Y23</f>
        <v>106729100</v>
      </c>
      <c r="AA23" s="200"/>
      <c r="AB23" s="208"/>
      <c r="AC23" s="209"/>
      <c r="AD23" s="209"/>
      <c r="AE23" s="209"/>
    </row>
    <row r="24" spans="1:29" s="208" customFormat="1" ht="63.75" customHeight="1">
      <c r="A24" s="200">
        <v>7</v>
      </c>
      <c r="B24" s="212" t="s">
        <v>152</v>
      </c>
      <c r="C24" s="200">
        <v>71</v>
      </c>
      <c r="D24" s="200">
        <v>84</v>
      </c>
      <c r="E24" s="200">
        <v>318.8</v>
      </c>
      <c r="F24" s="176" t="s">
        <v>0</v>
      </c>
      <c r="G24" s="180" t="s">
        <v>32</v>
      </c>
      <c r="H24" s="181">
        <v>271.2</v>
      </c>
      <c r="I24" s="181"/>
      <c r="J24" s="181"/>
      <c r="K24" s="180"/>
      <c r="L24" s="182">
        <f t="shared" si="10"/>
        <v>271.2</v>
      </c>
      <c r="M24" s="205">
        <f>L24</f>
        <v>271.2</v>
      </c>
      <c r="N24" s="184">
        <v>60000</v>
      </c>
      <c r="O24" s="184">
        <f t="shared" si="3"/>
        <v>16272000</v>
      </c>
      <c r="P24" s="182" t="s">
        <v>30</v>
      </c>
      <c r="Q24" s="182">
        <f t="shared" si="4"/>
        <v>271.2</v>
      </c>
      <c r="R24" s="182" t="s">
        <v>38</v>
      </c>
      <c r="S24" s="184">
        <v>9500</v>
      </c>
      <c r="T24" s="184">
        <f t="shared" si="5"/>
        <v>2576400</v>
      </c>
      <c r="U24" s="184">
        <f t="shared" si="11"/>
        <v>2712000</v>
      </c>
      <c r="V24" s="184">
        <f t="shared" si="6"/>
        <v>48816000</v>
      </c>
      <c r="W24" s="184">
        <f t="shared" si="8"/>
        <v>1</v>
      </c>
      <c r="X24" s="185">
        <f t="shared" si="9"/>
        <v>3500000</v>
      </c>
      <c r="Y24" s="186">
        <f t="shared" si="7"/>
        <v>73876400</v>
      </c>
      <c r="Z24" s="210">
        <f>Y24</f>
        <v>73876400</v>
      </c>
      <c r="AA24" s="200"/>
      <c r="AC24" s="208" t="s">
        <v>102</v>
      </c>
    </row>
    <row r="25" spans="1:31" s="26" customFormat="1" ht="63.75" customHeight="1">
      <c r="A25" s="196">
        <v>8</v>
      </c>
      <c r="B25" s="213" t="s">
        <v>159</v>
      </c>
      <c r="C25" s="200">
        <v>71</v>
      </c>
      <c r="D25" s="200">
        <v>84</v>
      </c>
      <c r="E25" s="200">
        <v>318.8</v>
      </c>
      <c r="F25" s="176" t="s">
        <v>0</v>
      </c>
      <c r="G25" s="180" t="s">
        <v>32</v>
      </c>
      <c r="H25" s="181">
        <v>46.90000000000002</v>
      </c>
      <c r="I25" s="181"/>
      <c r="J25" s="181">
        <v>0.7</v>
      </c>
      <c r="K25" s="180"/>
      <c r="L25" s="182">
        <f t="shared" si="10"/>
        <v>47.60000000000002</v>
      </c>
      <c r="M25" s="183">
        <f>SUM(L25:L28)</f>
        <v>525</v>
      </c>
      <c r="N25" s="184">
        <v>60000</v>
      </c>
      <c r="O25" s="184">
        <f t="shared" si="3"/>
        <v>2856000.0000000014</v>
      </c>
      <c r="P25" s="182" t="s">
        <v>30</v>
      </c>
      <c r="Q25" s="182">
        <f t="shared" si="4"/>
        <v>47.60000000000002</v>
      </c>
      <c r="R25" s="182" t="s">
        <v>38</v>
      </c>
      <c r="S25" s="184">
        <v>9500</v>
      </c>
      <c r="T25" s="184">
        <f t="shared" si="5"/>
        <v>452200.00000000023</v>
      </c>
      <c r="U25" s="184">
        <f t="shared" si="11"/>
        <v>476000.00000000023</v>
      </c>
      <c r="V25" s="184">
        <f t="shared" si="6"/>
        <v>8568000.000000004</v>
      </c>
      <c r="W25" s="184">
        <f t="shared" si="8"/>
        <v>2</v>
      </c>
      <c r="X25" s="185">
        <f t="shared" si="9"/>
        <v>7000000</v>
      </c>
      <c r="Y25" s="186">
        <f t="shared" si="7"/>
        <v>19352200.000000007</v>
      </c>
      <c r="Z25" s="187">
        <f>SUM(Y25:Y28)</f>
        <v>143237500</v>
      </c>
      <c r="AA25" s="200"/>
      <c r="AB25" s="208"/>
      <c r="AC25" s="209"/>
      <c r="AD25" s="209"/>
      <c r="AE25" s="209"/>
    </row>
    <row r="26" spans="1:27" s="208" customFormat="1" ht="63.75" customHeight="1">
      <c r="A26" s="196">
        <v>8</v>
      </c>
      <c r="B26" s="213" t="s">
        <v>159</v>
      </c>
      <c r="C26" s="178">
        <v>71</v>
      </c>
      <c r="D26" s="178">
        <v>73</v>
      </c>
      <c r="E26" s="179">
        <v>325.9</v>
      </c>
      <c r="F26" s="176" t="s">
        <v>0</v>
      </c>
      <c r="G26" s="180" t="s">
        <v>32</v>
      </c>
      <c r="H26" s="181">
        <v>27.6</v>
      </c>
      <c r="I26" s="181"/>
      <c r="J26" s="181"/>
      <c r="K26" s="180"/>
      <c r="L26" s="182">
        <f t="shared" si="10"/>
        <v>27.6</v>
      </c>
      <c r="M26" s="214"/>
      <c r="N26" s="184">
        <v>60000</v>
      </c>
      <c r="O26" s="184">
        <f t="shared" si="3"/>
        <v>1656000</v>
      </c>
      <c r="P26" s="182" t="s">
        <v>30</v>
      </c>
      <c r="Q26" s="182">
        <f t="shared" si="4"/>
        <v>27.6</v>
      </c>
      <c r="R26" s="182" t="s">
        <v>38</v>
      </c>
      <c r="S26" s="184">
        <v>9500</v>
      </c>
      <c r="T26" s="184">
        <f t="shared" si="5"/>
        <v>262200</v>
      </c>
      <c r="U26" s="184">
        <f t="shared" si="11"/>
        <v>276000</v>
      </c>
      <c r="V26" s="184">
        <f t="shared" si="6"/>
        <v>4968000</v>
      </c>
      <c r="W26" s="184">
        <f t="shared" si="8"/>
        <v>0</v>
      </c>
      <c r="X26" s="185">
        <f t="shared" si="9"/>
        <v>0</v>
      </c>
      <c r="Y26" s="186">
        <f t="shared" si="7"/>
        <v>7162200</v>
      </c>
      <c r="Z26" s="192"/>
      <c r="AA26" s="200"/>
    </row>
    <row r="27" spans="1:31" s="26" customFormat="1" ht="63.75" customHeight="1">
      <c r="A27" s="196">
        <v>8</v>
      </c>
      <c r="B27" s="213" t="s">
        <v>159</v>
      </c>
      <c r="C27" s="178">
        <v>71</v>
      </c>
      <c r="D27" s="178">
        <v>67</v>
      </c>
      <c r="E27" s="179">
        <v>276.6</v>
      </c>
      <c r="F27" s="176" t="s">
        <v>0</v>
      </c>
      <c r="G27" s="180" t="s">
        <v>32</v>
      </c>
      <c r="H27" s="181">
        <v>276.6</v>
      </c>
      <c r="I27" s="181"/>
      <c r="J27" s="181"/>
      <c r="K27" s="180"/>
      <c r="L27" s="182">
        <f t="shared" si="10"/>
        <v>276.6</v>
      </c>
      <c r="M27" s="214"/>
      <c r="N27" s="184">
        <v>60000</v>
      </c>
      <c r="O27" s="184">
        <f t="shared" si="3"/>
        <v>16596000.000000002</v>
      </c>
      <c r="P27" s="182" t="s">
        <v>30</v>
      </c>
      <c r="Q27" s="182">
        <f t="shared" si="4"/>
        <v>276.6</v>
      </c>
      <c r="R27" s="182" t="s">
        <v>38</v>
      </c>
      <c r="S27" s="184">
        <v>9500</v>
      </c>
      <c r="T27" s="184">
        <f t="shared" si="5"/>
        <v>2627700</v>
      </c>
      <c r="U27" s="184">
        <f t="shared" si="11"/>
        <v>2766000</v>
      </c>
      <c r="V27" s="184">
        <f t="shared" si="6"/>
        <v>49788000.00000001</v>
      </c>
      <c r="W27" s="184">
        <f t="shared" si="8"/>
        <v>0</v>
      </c>
      <c r="X27" s="185">
        <f t="shared" si="9"/>
        <v>0</v>
      </c>
      <c r="Y27" s="186">
        <f t="shared" si="7"/>
        <v>71777700</v>
      </c>
      <c r="Z27" s="192"/>
      <c r="AA27" s="200"/>
      <c r="AB27" s="208"/>
      <c r="AC27" s="209"/>
      <c r="AD27" s="209"/>
      <c r="AE27" s="209"/>
    </row>
    <row r="28" spans="1:31" s="26" customFormat="1" ht="63.75" customHeight="1">
      <c r="A28" s="196">
        <v>8</v>
      </c>
      <c r="B28" s="213" t="s">
        <v>159</v>
      </c>
      <c r="C28" s="178">
        <v>71</v>
      </c>
      <c r="D28" s="178">
        <v>52</v>
      </c>
      <c r="E28" s="179">
        <v>199</v>
      </c>
      <c r="F28" s="176" t="s">
        <v>0</v>
      </c>
      <c r="G28" s="180" t="s">
        <v>32</v>
      </c>
      <c r="H28" s="181">
        <v>173.2</v>
      </c>
      <c r="I28" s="181"/>
      <c r="J28" s="181"/>
      <c r="K28" s="180"/>
      <c r="L28" s="182">
        <f t="shared" si="10"/>
        <v>173.2</v>
      </c>
      <c r="M28" s="215"/>
      <c r="N28" s="184">
        <v>60000</v>
      </c>
      <c r="O28" s="184">
        <f t="shared" si="3"/>
        <v>10392000</v>
      </c>
      <c r="P28" s="182" t="s">
        <v>30</v>
      </c>
      <c r="Q28" s="182">
        <f t="shared" si="4"/>
        <v>173.2</v>
      </c>
      <c r="R28" s="182" t="s">
        <v>38</v>
      </c>
      <c r="S28" s="184">
        <v>9500</v>
      </c>
      <c r="T28" s="184">
        <f t="shared" si="5"/>
        <v>1645400</v>
      </c>
      <c r="U28" s="184">
        <f t="shared" si="11"/>
        <v>1732000</v>
      </c>
      <c r="V28" s="184">
        <f t="shared" si="6"/>
        <v>31176000</v>
      </c>
      <c r="W28" s="184">
        <f t="shared" si="8"/>
        <v>0</v>
      </c>
      <c r="X28" s="185">
        <f t="shared" si="9"/>
        <v>0</v>
      </c>
      <c r="Y28" s="186">
        <f t="shared" si="7"/>
        <v>44945400</v>
      </c>
      <c r="Z28" s="206"/>
      <c r="AA28" s="176" t="s">
        <v>78</v>
      </c>
      <c r="AB28" s="208"/>
      <c r="AC28" s="209"/>
      <c r="AD28" s="209"/>
      <c r="AE28" s="209"/>
    </row>
    <row r="29" spans="1:31" s="26" customFormat="1" ht="63.75" customHeight="1">
      <c r="A29" s="196">
        <v>9</v>
      </c>
      <c r="B29" s="213" t="s">
        <v>160</v>
      </c>
      <c r="C29" s="178">
        <v>82</v>
      </c>
      <c r="D29" s="178">
        <v>33</v>
      </c>
      <c r="E29" s="179">
        <v>181.8</v>
      </c>
      <c r="F29" s="176" t="s">
        <v>0</v>
      </c>
      <c r="G29" s="180" t="s">
        <v>32</v>
      </c>
      <c r="H29" s="181">
        <f>E29</f>
        <v>181.8</v>
      </c>
      <c r="I29" s="181"/>
      <c r="J29" s="181"/>
      <c r="K29" s="180"/>
      <c r="L29" s="182">
        <f t="shared" si="10"/>
        <v>181.8</v>
      </c>
      <c r="M29" s="183">
        <f>L29+L30</f>
        <v>197.20000000000002</v>
      </c>
      <c r="N29" s="184">
        <v>60000</v>
      </c>
      <c r="O29" s="184">
        <f t="shared" si="3"/>
        <v>10908000</v>
      </c>
      <c r="P29" s="182" t="s">
        <v>30</v>
      </c>
      <c r="Q29" s="182">
        <f t="shared" si="4"/>
        <v>181.8</v>
      </c>
      <c r="R29" s="182" t="s">
        <v>38</v>
      </c>
      <c r="S29" s="184">
        <v>9500</v>
      </c>
      <c r="T29" s="184">
        <f t="shared" si="5"/>
        <v>1727100</v>
      </c>
      <c r="U29" s="184">
        <f t="shared" si="11"/>
        <v>1818000</v>
      </c>
      <c r="V29" s="184">
        <f t="shared" si="6"/>
        <v>32724000</v>
      </c>
      <c r="W29" s="184">
        <f t="shared" si="8"/>
        <v>0</v>
      </c>
      <c r="X29" s="185">
        <f t="shared" si="9"/>
        <v>0</v>
      </c>
      <c r="Y29" s="186">
        <f t="shared" si="7"/>
        <v>47177100</v>
      </c>
      <c r="Z29" s="210">
        <f>Y29+Y30</f>
        <v>51173400</v>
      </c>
      <c r="AA29" s="200"/>
      <c r="AB29" s="208"/>
      <c r="AC29" s="209"/>
      <c r="AD29" s="209"/>
      <c r="AE29" s="209"/>
    </row>
    <row r="30" spans="1:31" s="26" customFormat="1" ht="63.75" customHeight="1">
      <c r="A30" s="196">
        <v>9</v>
      </c>
      <c r="B30" s="213" t="s">
        <v>160</v>
      </c>
      <c r="C30" s="202">
        <v>71</v>
      </c>
      <c r="D30" s="196">
        <v>125</v>
      </c>
      <c r="E30" s="196">
        <v>58.1</v>
      </c>
      <c r="F30" s="176" t="s">
        <v>101</v>
      </c>
      <c r="G30" s="180" t="s">
        <v>32</v>
      </c>
      <c r="H30" s="181"/>
      <c r="I30" s="181">
        <v>15.4</v>
      </c>
      <c r="J30" s="181"/>
      <c r="K30" s="180"/>
      <c r="L30" s="182">
        <f t="shared" si="10"/>
        <v>15.4</v>
      </c>
      <c r="M30" s="205"/>
      <c r="N30" s="184">
        <v>60000</v>
      </c>
      <c r="O30" s="184">
        <f t="shared" si="3"/>
        <v>924000</v>
      </c>
      <c r="P30" s="182" t="s">
        <v>30</v>
      </c>
      <c r="Q30" s="182">
        <f t="shared" si="4"/>
        <v>15.4</v>
      </c>
      <c r="R30" s="182" t="s">
        <v>38</v>
      </c>
      <c r="S30" s="184">
        <v>9500</v>
      </c>
      <c r="T30" s="184">
        <f t="shared" si="5"/>
        <v>146300</v>
      </c>
      <c r="U30" s="184">
        <f t="shared" si="11"/>
        <v>154000</v>
      </c>
      <c r="V30" s="184">
        <f t="shared" si="6"/>
        <v>2772000</v>
      </c>
      <c r="W30" s="184">
        <f t="shared" si="8"/>
        <v>0</v>
      </c>
      <c r="X30" s="185">
        <f t="shared" si="9"/>
        <v>0</v>
      </c>
      <c r="Y30" s="186">
        <f t="shared" si="7"/>
        <v>3996300</v>
      </c>
      <c r="Z30" s="206"/>
      <c r="AA30" s="200"/>
      <c r="AB30" s="208"/>
      <c r="AC30" s="209"/>
      <c r="AD30" s="209"/>
      <c r="AE30" s="209"/>
    </row>
    <row r="31" spans="1:31" s="26" customFormat="1" ht="63.75" customHeight="1">
      <c r="A31" s="196">
        <v>10</v>
      </c>
      <c r="B31" s="213" t="s">
        <v>161</v>
      </c>
      <c r="C31" s="178">
        <v>71</v>
      </c>
      <c r="D31" s="178">
        <v>73</v>
      </c>
      <c r="E31" s="179">
        <v>325.9</v>
      </c>
      <c r="F31" s="176" t="s">
        <v>0</v>
      </c>
      <c r="G31" s="180" t="s">
        <v>32</v>
      </c>
      <c r="H31" s="181">
        <v>289.9</v>
      </c>
      <c r="I31" s="181"/>
      <c r="J31" s="181"/>
      <c r="K31" s="180"/>
      <c r="L31" s="182">
        <f t="shared" si="10"/>
        <v>289.9</v>
      </c>
      <c r="M31" s="183">
        <f>SUM(L31:L32)</f>
        <v>449.29999999999995</v>
      </c>
      <c r="N31" s="184">
        <v>60000</v>
      </c>
      <c r="O31" s="184">
        <f t="shared" si="3"/>
        <v>17394000</v>
      </c>
      <c r="P31" s="182" t="s">
        <v>30</v>
      </c>
      <c r="Q31" s="182">
        <f t="shared" si="4"/>
        <v>289.9</v>
      </c>
      <c r="R31" s="182" t="s">
        <v>38</v>
      </c>
      <c r="S31" s="184">
        <v>9500</v>
      </c>
      <c r="T31" s="184">
        <f t="shared" si="5"/>
        <v>2754050</v>
      </c>
      <c r="U31" s="184">
        <f t="shared" si="11"/>
        <v>2899000</v>
      </c>
      <c r="V31" s="184">
        <f t="shared" si="6"/>
        <v>52182000</v>
      </c>
      <c r="W31" s="184">
        <f t="shared" si="8"/>
        <v>2</v>
      </c>
      <c r="X31" s="185">
        <f t="shared" si="9"/>
        <v>7000000</v>
      </c>
      <c r="Y31" s="186">
        <f t="shared" si="7"/>
        <v>82229050</v>
      </c>
      <c r="Z31" s="210">
        <f>Y31</f>
        <v>82229050</v>
      </c>
      <c r="AA31" s="200"/>
      <c r="AB31" s="208"/>
      <c r="AC31" s="209"/>
      <c r="AD31" s="209"/>
      <c r="AE31" s="209"/>
    </row>
    <row r="32" spans="1:31" s="26" customFormat="1" ht="63.75" customHeight="1">
      <c r="A32" s="196">
        <v>10</v>
      </c>
      <c r="B32" s="213" t="s">
        <v>161</v>
      </c>
      <c r="C32" s="200">
        <v>81</v>
      </c>
      <c r="D32" s="200">
        <v>1</v>
      </c>
      <c r="E32" s="200">
        <v>159.4</v>
      </c>
      <c r="F32" s="176" t="s">
        <v>0</v>
      </c>
      <c r="G32" s="180" t="s">
        <v>32</v>
      </c>
      <c r="H32" s="181">
        <f>E32</f>
        <v>159.4</v>
      </c>
      <c r="I32" s="181"/>
      <c r="J32" s="181"/>
      <c r="K32" s="180"/>
      <c r="L32" s="182">
        <f t="shared" si="10"/>
        <v>159.4</v>
      </c>
      <c r="M32" s="205"/>
      <c r="N32" s="184">
        <v>60000</v>
      </c>
      <c r="O32" s="184">
        <f t="shared" si="3"/>
        <v>9564000</v>
      </c>
      <c r="P32" s="182" t="s">
        <v>30</v>
      </c>
      <c r="Q32" s="182">
        <f t="shared" si="4"/>
        <v>159.4</v>
      </c>
      <c r="R32" s="182" t="s">
        <v>38</v>
      </c>
      <c r="S32" s="184">
        <v>9500</v>
      </c>
      <c r="T32" s="184">
        <f t="shared" si="5"/>
        <v>1514300</v>
      </c>
      <c r="U32" s="184">
        <f t="shared" si="11"/>
        <v>1594000</v>
      </c>
      <c r="V32" s="184">
        <f t="shared" si="6"/>
        <v>28692000</v>
      </c>
      <c r="W32" s="184">
        <f t="shared" si="8"/>
        <v>0</v>
      </c>
      <c r="X32" s="185">
        <f t="shared" si="9"/>
        <v>0</v>
      </c>
      <c r="Y32" s="186">
        <f t="shared" si="7"/>
        <v>41364300</v>
      </c>
      <c r="Z32" s="210">
        <f>Y32</f>
        <v>41364300</v>
      </c>
      <c r="AA32" s="200"/>
      <c r="AB32" s="208"/>
      <c r="AC32" s="209"/>
      <c r="AD32" s="209"/>
      <c r="AE32" s="209"/>
    </row>
    <row r="33" spans="1:31" s="26" customFormat="1" ht="63.75" customHeight="1">
      <c r="A33" s="196">
        <v>11</v>
      </c>
      <c r="B33" s="216" t="s">
        <v>69</v>
      </c>
      <c r="C33" s="178">
        <v>71</v>
      </c>
      <c r="D33" s="178">
        <v>53</v>
      </c>
      <c r="E33" s="179">
        <v>324.5</v>
      </c>
      <c r="F33" s="203" t="s">
        <v>0</v>
      </c>
      <c r="G33" s="180" t="s">
        <v>32</v>
      </c>
      <c r="H33" s="181">
        <v>324.5</v>
      </c>
      <c r="I33" s="181"/>
      <c r="J33" s="181"/>
      <c r="K33" s="180"/>
      <c r="L33" s="182">
        <f t="shared" si="10"/>
        <v>324.5</v>
      </c>
      <c r="M33" s="183">
        <f>SUM(L33:L34)</f>
        <v>350</v>
      </c>
      <c r="N33" s="184">
        <v>60000</v>
      </c>
      <c r="O33" s="184">
        <f t="shared" si="3"/>
        <v>19470000</v>
      </c>
      <c r="P33" s="182" t="s">
        <v>30</v>
      </c>
      <c r="Q33" s="182">
        <f t="shared" si="4"/>
        <v>324.5</v>
      </c>
      <c r="R33" s="182" t="s">
        <v>70</v>
      </c>
      <c r="S33" s="184">
        <v>9500</v>
      </c>
      <c r="T33" s="184">
        <f t="shared" si="5"/>
        <v>3082750</v>
      </c>
      <c r="U33" s="184">
        <f t="shared" si="11"/>
        <v>3245000</v>
      </c>
      <c r="V33" s="184">
        <f t="shared" si="6"/>
        <v>58410000</v>
      </c>
      <c r="W33" s="184">
        <f t="shared" si="8"/>
        <v>1</v>
      </c>
      <c r="X33" s="185">
        <f t="shared" si="9"/>
        <v>3500000</v>
      </c>
      <c r="Y33" s="186">
        <f t="shared" si="7"/>
        <v>87707750</v>
      </c>
      <c r="Z33" s="187">
        <f>SUM(Y33:Y34)</f>
        <v>94325000</v>
      </c>
      <c r="AA33" s="207"/>
      <c r="AB33" s="208"/>
      <c r="AC33" s="209"/>
      <c r="AD33" s="209"/>
      <c r="AE33" s="209"/>
    </row>
    <row r="34" spans="1:31" s="26" customFormat="1" ht="63.75" customHeight="1">
      <c r="A34" s="196">
        <v>11</v>
      </c>
      <c r="B34" s="216" t="s">
        <v>69</v>
      </c>
      <c r="C34" s="200">
        <v>71</v>
      </c>
      <c r="D34" s="200">
        <v>36</v>
      </c>
      <c r="E34" s="202">
        <v>364.4</v>
      </c>
      <c r="F34" s="176" t="s">
        <v>0</v>
      </c>
      <c r="G34" s="180" t="s">
        <v>32</v>
      </c>
      <c r="H34" s="181">
        <f>349.9-H33</f>
        <v>25.399999999999977</v>
      </c>
      <c r="I34" s="180">
        <v>0.1</v>
      </c>
      <c r="J34" s="181"/>
      <c r="K34" s="180"/>
      <c r="L34" s="182">
        <f t="shared" si="10"/>
        <v>25.49999999999998</v>
      </c>
      <c r="M34" s="205"/>
      <c r="N34" s="184">
        <v>60000</v>
      </c>
      <c r="O34" s="184">
        <f t="shared" si="3"/>
        <v>1529999.9999999988</v>
      </c>
      <c r="P34" s="182" t="s">
        <v>30</v>
      </c>
      <c r="Q34" s="182">
        <f t="shared" si="4"/>
        <v>25.49999999999998</v>
      </c>
      <c r="R34" s="182" t="s">
        <v>79</v>
      </c>
      <c r="S34" s="184">
        <v>9500</v>
      </c>
      <c r="T34" s="184">
        <f t="shared" si="5"/>
        <v>242249.9999999998</v>
      </c>
      <c r="U34" s="184">
        <f t="shared" si="11"/>
        <v>254999.9999999998</v>
      </c>
      <c r="V34" s="184">
        <f t="shared" si="6"/>
        <v>4589999.999999996</v>
      </c>
      <c r="W34" s="184">
        <f t="shared" si="8"/>
        <v>0</v>
      </c>
      <c r="X34" s="185">
        <f t="shared" si="9"/>
        <v>0</v>
      </c>
      <c r="Y34" s="186">
        <f t="shared" si="7"/>
        <v>6617249.999999994</v>
      </c>
      <c r="Z34" s="206"/>
      <c r="AA34" s="207"/>
      <c r="AB34" s="208"/>
      <c r="AC34" s="209"/>
      <c r="AD34" s="209"/>
      <c r="AE34" s="209"/>
    </row>
    <row r="35" spans="1:31" s="26" customFormat="1" ht="63.75" customHeight="1">
      <c r="A35" s="217">
        <v>12</v>
      </c>
      <c r="B35" s="216" t="s">
        <v>162</v>
      </c>
      <c r="C35" s="218">
        <v>71</v>
      </c>
      <c r="D35" s="218">
        <v>66</v>
      </c>
      <c r="E35" s="219">
        <v>219.7</v>
      </c>
      <c r="F35" s="203" t="s">
        <v>0</v>
      </c>
      <c r="G35" s="180" t="s">
        <v>32</v>
      </c>
      <c r="H35" s="181">
        <f>E35</f>
        <v>219.7</v>
      </c>
      <c r="I35" s="181"/>
      <c r="J35" s="181"/>
      <c r="K35" s="180"/>
      <c r="L35" s="182">
        <f t="shared" si="10"/>
        <v>219.7</v>
      </c>
      <c r="M35" s="183">
        <f>SUM(L35:L36)</f>
        <v>242.39999999999998</v>
      </c>
      <c r="N35" s="184">
        <v>60000</v>
      </c>
      <c r="O35" s="184">
        <f t="shared" si="3"/>
        <v>13182000</v>
      </c>
      <c r="P35" s="182" t="s">
        <v>30</v>
      </c>
      <c r="Q35" s="182">
        <f t="shared" si="4"/>
        <v>219.7</v>
      </c>
      <c r="R35" s="182" t="s">
        <v>79</v>
      </c>
      <c r="S35" s="184">
        <v>9500</v>
      </c>
      <c r="T35" s="184">
        <f t="shared" si="5"/>
        <v>2087150</v>
      </c>
      <c r="U35" s="184">
        <f t="shared" si="11"/>
        <v>2197000</v>
      </c>
      <c r="V35" s="184">
        <f t="shared" si="6"/>
        <v>39546000</v>
      </c>
      <c r="W35" s="184">
        <f t="shared" si="8"/>
        <v>1</v>
      </c>
      <c r="X35" s="185">
        <f t="shared" si="9"/>
        <v>3500000</v>
      </c>
      <c r="Y35" s="186">
        <f t="shared" si="7"/>
        <v>60512150</v>
      </c>
      <c r="Z35" s="187">
        <f>SUM(Y35:Y36)</f>
        <v>66402800</v>
      </c>
      <c r="AA35" s="207"/>
      <c r="AB35" s="208"/>
      <c r="AC35" s="209"/>
      <c r="AD35" s="209"/>
      <c r="AE35" s="209"/>
    </row>
    <row r="36" spans="1:31" s="26" customFormat="1" ht="63.75" customHeight="1">
      <c r="A36" s="217">
        <v>12</v>
      </c>
      <c r="B36" s="216" t="s">
        <v>162</v>
      </c>
      <c r="C36" s="202">
        <v>71</v>
      </c>
      <c r="D36" s="196">
        <v>65</v>
      </c>
      <c r="E36" s="196">
        <v>278.6</v>
      </c>
      <c r="F36" s="203" t="s">
        <v>0</v>
      </c>
      <c r="G36" s="180" t="s">
        <v>32</v>
      </c>
      <c r="H36" s="181">
        <v>22.7</v>
      </c>
      <c r="I36" s="204"/>
      <c r="J36" s="204"/>
      <c r="K36" s="180"/>
      <c r="L36" s="182">
        <f t="shared" si="10"/>
        <v>22.7</v>
      </c>
      <c r="M36" s="191"/>
      <c r="N36" s="184">
        <v>60000</v>
      </c>
      <c r="O36" s="184">
        <f>L36*N36</f>
        <v>1362000</v>
      </c>
      <c r="P36" s="182" t="s">
        <v>30</v>
      </c>
      <c r="Q36" s="182">
        <f>L36</f>
        <v>22.7</v>
      </c>
      <c r="R36" s="182" t="s">
        <v>79</v>
      </c>
      <c r="S36" s="184">
        <v>9500</v>
      </c>
      <c r="T36" s="184">
        <f>Q36*S36</f>
        <v>215650</v>
      </c>
      <c r="U36" s="184">
        <f>L36*10000</f>
        <v>227000</v>
      </c>
      <c r="V36" s="184">
        <f>L36*N36*3</f>
        <v>4086000</v>
      </c>
      <c r="W36" s="184">
        <f t="shared" si="8"/>
        <v>0</v>
      </c>
      <c r="X36" s="185">
        <f t="shared" si="9"/>
        <v>0</v>
      </c>
      <c r="Y36" s="186">
        <f t="shared" si="7"/>
        <v>5890650</v>
      </c>
      <c r="Z36" s="192"/>
      <c r="AA36" s="207"/>
      <c r="AB36" s="208"/>
      <c r="AC36" s="209"/>
      <c r="AD36" s="209"/>
      <c r="AE36" s="209"/>
    </row>
    <row r="37" spans="1:31" s="26" customFormat="1" ht="63.75" customHeight="1">
      <c r="A37" s="217">
        <v>13</v>
      </c>
      <c r="B37" s="216" t="s">
        <v>82</v>
      </c>
      <c r="C37" s="220">
        <v>71</v>
      </c>
      <c r="D37" s="221">
        <v>74</v>
      </c>
      <c r="E37" s="222">
        <v>301.3</v>
      </c>
      <c r="F37" s="203" t="s">
        <v>0</v>
      </c>
      <c r="G37" s="180" t="s">
        <v>32</v>
      </c>
      <c r="H37" s="181">
        <v>301.2</v>
      </c>
      <c r="I37" s="223"/>
      <c r="J37" s="223">
        <v>0.1</v>
      </c>
      <c r="K37" s="204"/>
      <c r="L37" s="182">
        <f t="shared" si="10"/>
        <v>301.3</v>
      </c>
      <c r="M37" s="183">
        <f>SUM(L37:L38)</f>
        <v>362</v>
      </c>
      <c r="N37" s="184">
        <v>60000</v>
      </c>
      <c r="O37" s="184">
        <f t="shared" si="3"/>
        <v>18078000</v>
      </c>
      <c r="P37" s="182" t="s">
        <v>30</v>
      </c>
      <c r="Q37" s="182">
        <f t="shared" si="4"/>
        <v>301.3</v>
      </c>
      <c r="R37" s="182" t="s">
        <v>83</v>
      </c>
      <c r="S37" s="184">
        <v>9500</v>
      </c>
      <c r="T37" s="184">
        <f t="shared" si="5"/>
        <v>2862350</v>
      </c>
      <c r="U37" s="184">
        <f t="shared" si="11"/>
        <v>3013000</v>
      </c>
      <c r="V37" s="184">
        <f t="shared" si="6"/>
        <v>54234000</v>
      </c>
      <c r="W37" s="184">
        <f t="shared" si="8"/>
        <v>1</v>
      </c>
      <c r="X37" s="185">
        <f t="shared" si="9"/>
        <v>3500000</v>
      </c>
      <c r="Y37" s="186">
        <f t="shared" si="7"/>
        <v>81687350</v>
      </c>
      <c r="Z37" s="187">
        <f>SUM(Y37:Y38)</f>
        <v>97439000</v>
      </c>
      <c r="AA37" s="207"/>
      <c r="AB37" s="208"/>
      <c r="AC37" s="209"/>
      <c r="AD37" s="209"/>
      <c r="AE37" s="209"/>
    </row>
    <row r="38" spans="1:31" s="26" customFormat="1" ht="63.75" customHeight="1">
      <c r="A38" s="217">
        <v>13</v>
      </c>
      <c r="B38" s="216" t="s">
        <v>82</v>
      </c>
      <c r="C38" s="202">
        <v>71</v>
      </c>
      <c r="D38" s="196">
        <v>57</v>
      </c>
      <c r="E38" s="196">
        <v>313.9</v>
      </c>
      <c r="F38" s="176" t="s">
        <v>0</v>
      </c>
      <c r="G38" s="180" t="s">
        <v>32</v>
      </c>
      <c r="H38" s="181">
        <f>60.7</f>
        <v>60.7</v>
      </c>
      <c r="I38" s="181"/>
      <c r="J38" s="181"/>
      <c r="K38" s="180"/>
      <c r="L38" s="182">
        <f t="shared" si="10"/>
        <v>60.7</v>
      </c>
      <c r="M38" s="205"/>
      <c r="N38" s="184">
        <v>60000</v>
      </c>
      <c r="O38" s="184">
        <f t="shared" si="3"/>
        <v>3642000</v>
      </c>
      <c r="P38" s="182" t="s">
        <v>30</v>
      </c>
      <c r="Q38" s="182">
        <f t="shared" si="4"/>
        <v>60.7</v>
      </c>
      <c r="R38" s="182" t="s">
        <v>83</v>
      </c>
      <c r="S38" s="184">
        <v>9500</v>
      </c>
      <c r="T38" s="184">
        <f t="shared" si="5"/>
        <v>576650</v>
      </c>
      <c r="U38" s="184">
        <f t="shared" si="11"/>
        <v>607000</v>
      </c>
      <c r="V38" s="184">
        <f t="shared" si="6"/>
        <v>10926000</v>
      </c>
      <c r="W38" s="184">
        <f t="shared" si="8"/>
        <v>0</v>
      </c>
      <c r="X38" s="185">
        <f t="shared" si="9"/>
        <v>0</v>
      </c>
      <c r="Y38" s="186">
        <f t="shared" si="7"/>
        <v>15751650</v>
      </c>
      <c r="Z38" s="206"/>
      <c r="AA38" s="207"/>
      <c r="AB38" s="208"/>
      <c r="AC38" s="209"/>
      <c r="AD38" s="209"/>
      <c r="AE38" s="209"/>
    </row>
    <row r="39" spans="1:31" s="128" customFormat="1" ht="63.75" customHeight="1">
      <c r="A39" s="66" t="s">
        <v>113</v>
      </c>
      <c r="B39" s="56" t="s">
        <v>41</v>
      </c>
      <c r="C39" s="66"/>
      <c r="D39" s="66"/>
      <c r="E39" s="67"/>
      <c r="F39" s="66"/>
      <c r="G39" s="69"/>
      <c r="H39" s="69">
        <f aca="true" t="shared" si="12" ref="H39:M39">SUM(H40:H85)</f>
        <v>4453.5</v>
      </c>
      <c r="I39" s="69">
        <f t="shared" si="12"/>
        <v>2961.3</v>
      </c>
      <c r="J39" s="69">
        <f t="shared" si="12"/>
        <v>15.7</v>
      </c>
      <c r="K39" s="69">
        <f t="shared" si="12"/>
        <v>135.1</v>
      </c>
      <c r="L39" s="69">
        <f t="shared" si="12"/>
        <v>7565.600000000001</v>
      </c>
      <c r="M39" s="69">
        <f t="shared" si="12"/>
        <v>7565.6</v>
      </c>
      <c r="N39" s="69"/>
      <c r="O39" s="116">
        <f>SUM(O40:O85)</f>
        <v>453936000</v>
      </c>
      <c r="P39" s="69"/>
      <c r="Q39" s="69">
        <f>SUM(Q40:Q85)</f>
        <v>7565.600000000001</v>
      </c>
      <c r="R39" s="69"/>
      <c r="S39" s="69"/>
      <c r="T39" s="116">
        <f aca="true" t="shared" si="13" ref="T39:Z39">SUM(T40:T85)</f>
        <v>75527740</v>
      </c>
      <c r="U39" s="116">
        <f t="shared" si="13"/>
        <v>75656000</v>
      </c>
      <c r="V39" s="116">
        <f t="shared" si="13"/>
        <v>1361808000</v>
      </c>
      <c r="W39" s="105">
        <f>SUM(W40:W85)</f>
        <v>35</v>
      </c>
      <c r="X39" s="116">
        <f t="shared" si="13"/>
        <v>122500000</v>
      </c>
      <c r="Y39" s="116">
        <f t="shared" si="13"/>
        <v>2089427740</v>
      </c>
      <c r="Z39" s="116">
        <f t="shared" si="13"/>
        <v>2089427740</v>
      </c>
      <c r="AA39" s="70"/>
      <c r="AB39" s="126"/>
      <c r="AC39" s="127"/>
      <c r="AD39" s="127"/>
      <c r="AE39" s="127"/>
    </row>
    <row r="40" spans="1:31" s="195" customFormat="1" ht="63.75" customHeight="1">
      <c r="A40" s="176">
        <v>1</v>
      </c>
      <c r="B40" s="177" t="s">
        <v>163</v>
      </c>
      <c r="C40" s="200">
        <v>81</v>
      </c>
      <c r="D40" s="200">
        <v>63</v>
      </c>
      <c r="E40" s="200">
        <v>83.9</v>
      </c>
      <c r="F40" s="176" t="s">
        <v>0</v>
      </c>
      <c r="G40" s="180" t="s">
        <v>37</v>
      </c>
      <c r="H40" s="181"/>
      <c r="I40" s="180">
        <f>E40</f>
        <v>83.9</v>
      </c>
      <c r="J40" s="277"/>
      <c r="K40" s="180"/>
      <c r="L40" s="182">
        <f aca="true" t="shared" si="14" ref="L40:L84">H40+I40+J40+K40</f>
        <v>83.9</v>
      </c>
      <c r="M40" s="255">
        <f>L40+L41</f>
        <v>226.1</v>
      </c>
      <c r="N40" s="184">
        <v>60000</v>
      </c>
      <c r="O40" s="184">
        <f aca="true" t="shared" si="15" ref="O40:O85">L40*N40</f>
        <v>5034000</v>
      </c>
      <c r="P40" s="182" t="s">
        <v>30</v>
      </c>
      <c r="Q40" s="182">
        <f aca="true" t="shared" si="16" ref="Q40:Q85">L40</f>
        <v>83.9</v>
      </c>
      <c r="R40" s="182" t="s">
        <v>39</v>
      </c>
      <c r="S40" s="184">
        <v>9500</v>
      </c>
      <c r="T40" s="184">
        <f aca="true" t="shared" si="17" ref="T40:T85">Q40*S40</f>
        <v>797050</v>
      </c>
      <c r="U40" s="184">
        <f aca="true" t="shared" si="18" ref="U40:U85">L40*10000</f>
        <v>839000</v>
      </c>
      <c r="V40" s="184">
        <f aca="true" t="shared" si="19" ref="V40:V85">L40*N40*3</f>
        <v>15102000</v>
      </c>
      <c r="W40" s="184">
        <f>INT(M40/176.4)</f>
        <v>1</v>
      </c>
      <c r="X40" s="185">
        <f aca="true" t="shared" si="20" ref="X40:X59">W40*3500000</f>
        <v>3500000</v>
      </c>
      <c r="Y40" s="186">
        <f aca="true" t="shared" si="21" ref="Y40:Y85">O40+T40+U40+V40+X40</f>
        <v>25272050</v>
      </c>
      <c r="Z40" s="187">
        <f>Y40+Y41</f>
        <v>65827490</v>
      </c>
      <c r="AA40" s="176"/>
      <c r="AB40" s="193"/>
      <c r="AC40" s="194"/>
      <c r="AD40" s="194">
        <f>74</f>
        <v>74</v>
      </c>
      <c r="AE40" s="194"/>
    </row>
    <row r="41" spans="1:31" s="195" customFormat="1" ht="63.75" customHeight="1">
      <c r="A41" s="176">
        <v>1</v>
      </c>
      <c r="B41" s="177" t="s">
        <v>163</v>
      </c>
      <c r="C41" s="200">
        <v>82</v>
      </c>
      <c r="D41" s="200">
        <v>27</v>
      </c>
      <c r="E41" s="200">
        <v>142.2</v>
      </c>
      <c r="F41" s="176" t="s">
        <v>0</v>
      </c>
      <c r="G41" s="180" t="s">
        <v>37</v>
      </c>
      <c r="H41" s="181"/>
      <c r="I41" s="180">
        <f>E41</f>
        <v>142.2</v>
      </c>
      <c r="J41" s="277"/>
      <c r="K41" s="180"/>
      <c r="L41" s="182">
        <f t="shared" si="14"/>
        <v>142.2</v>
      </c>
      <c r="M41" s="253"/>
      <c r="N41" s="184">
        <v>60000</v>
      </c>
      <c r="O41" s="184">
        <f t="shared" si="15"/>
        <v>8532000</v>
      </c>
      <c r="P41" s="182" t="s">
        <v>75</v>
      </c>
      <c r="Q41" s="182">
        <f t="shared" si="16"/>
        <v>142.2</v>
      </c>
      <c r="R41" s="182" t="s">
        <v>39</v>
      </c>
      <c r="S41" s="184">
        <v>35200</v>
      </c>
      <c r="T41" s="184">
        <f t="shared" si="17"/>
        <v>5005440</v>
      </c>
      <c r="U41" s="184">
        <f t="shared" si="18"/>
        <v>1422000</v>
      </c>
      <c r="V41" s="184">
        <f t="shared" si="19"/>
        <v>25596000</v>
      </c>
      <c r="W41" s="184">
        <f>INT(M41/176.4)</f>
        <v>0</v>
      </c>
      <c r="X41" s="185">
        <f t="shared" si="20"/>
        <v>0</v>
      </c>
      <c r="Y41" s="186">
        <f t="shared" si="21"/>
        <v>40555440</v>
      </c>
      <c r="Z41" s="206"/>
      <c r="AA41" s="176"/>
      <c r="AB41" s="193"/>
      <c r="AC41" s="194"/>
      <c r="AD41" s="281" t="s">
        <v>85</v>
      </c>
      <c r="AE41" s="194"/>
    </row>
    <row r="42" spans="1:31" s="195" customFormat="1" ht="63.75" customHeight="1">
      <c r="A42" s="176">
        <v>2</v>
      </c>
      <c r="B42" s="212" t="s">
        <v>164</v>
      </c>
      <c r="C42" s="200">
        <v>82</v>
      </c>
      <c r="D42" s="200">
        <v>120</v>
      </c>
      <c r="E42" s="200">
        <v>192.5</v>
      </c>
      <c r="F42" s="176" t="s">
        <v>0</v>
      </c>
      <c r="G42" s="180" t="s">
        <v>68</v>
      </c>
      <c r="H42" s="181">
        <f>E42</f>
        <v>192.5</v>
      </c>
      <c r="I42" s="181"/>
      <c r="J42" s="181"/>
      <c r="K42" s="180"/>
      <c r="L42" s="182">
        <f t="shared" si="14"/>
        <v>192.5</v>
      </c>
      <c r="M42" s="255">
        <f>L42+L43</f>
        <v>459.2</v>
      </c>
      <c r="N42" s="184">
        <v>60000</v>
      </c>
      <c r="O42" s="184">
        <f t="shared" si="15"/>
        <v>11550000</v>
      </c>
      <c r="P42" s="182" t="s">
        <v>30</v>
      </c>
      <c r="Q42" s="182">
        <f t="shared" si="16"/>
        <v>192.5</v>
      </c>
      <c r="R42" s="182" t="s">
        <v>38</v>
      </c>
      <c r="S42" s="184">
        <v>9500</v>
      </c>
      <c r="T42" s="184">
        <f t="shared" si="17"/>
        <v>1828750</v>
      </c>
      <c r="U42" s="184">
        <f t="shared" si="18"/>
        <v>1925000</v>
      </c>
      <c r="V42" s="184">
        <f t="shared" si="19"/>
        <v>34650000</v>
      </c>
      <c r="W42" s="184">
        <f aca="true" t="shared" si="22" ref="W42:W85">INT(M42/176.4)</f>
        <v>2</v>
      </c>
      <c r="X42" s="185">
        <f t="shared" si="20"/>
        <v>7000000</v>
      </c>
      <c r="Y42" s="186">
        <f t="shared" si="21"/>
        <v>56953750</v>
      </c>
      <c r="Z42" s="187">
        <f>Y42+Y43</f>
        <v>126162400</v>
      </c>
      <c r="AA42" s="176"/>
      <c r="AB42" s="193"/>
      <c r="AC42" s="194"/>
      <c r="AD42" s="194"/>
      <c r="AE42" s="194"/>
    </row>
    <row r="43" spans="1:31" s="195" customFormat="1" ht="63.75" customHeight="1">
      <c r="A43" s="176">
        <v>2</v>
      </c>
      <c r="B43" s="212" t="s">
        <v>164</v>
      </c>
      <c r="C43" s="200">
        <v>72</v>
      </c>
      <c r="D43" s="200">
        <v>176</v>
      </c>
      <c r="E43" s="200">
        <v>266.7</v>
      </c>
      <c r="F43" s="176" t="s">
        <v>45</v>
      </c>
      <c r="G43" s="180" t="s">
        <v>76</v>
      </c>
      <c r="H43" s="181">
        <f>E43</f>
        <v>266.7</v>
      </c>
      <c r="I43" s="181"/>
      <c r="J43" s="181"/>
      <c r="K43" s="180"/>
      <c r="L43" s="182">
        <f t="shared" si="14"/>
        <v>266.7</v>
      </c>
      <c r="M43" s="253"/>
      <c r="N43" s="184">
        <v>60000</v>
      </c>
      <c r="O43" s="184">
        <f t="shared" si="15"/>
        <v>16002000</v>
      </c>
      <c r="P43" s="182" t="s">
        <v>30</v>
      </c>
      <c r="Q43" s="182">
        <f t="shared" si="16"/>
        <v>266.7</v>
      </c>
      <c r="R43" s="182" t="s">
        <v>38</v>
      </c>
      <c r="S43" s="184">
        <v>9500</v>
      </c>
      <c r="T43" s="184">
        <f t="shared" si="17"/>
        <v>2533650</v>
      </c>
      <c r="U43" s="184">
        <f t="shared" si="18"/>
        <v>2667000</v>
      </c>
      <c r="V43" s="184">
        <f t="shared" si="19"/>
        <v>48006000</v>
      </c>
      <c r="W43" s="184">
        <f t="shared" si="22"/>
        <v>0</v>
      </c>
      <c r="X43" s="185">
        <f t="shared" si="20"/>
        <v>0</v>
      </c>
      <c r="Y43" s="186">
        <f t="shared" si="21"/>
        <v>69208650</v>
      </c>
      <c r="Z43" s="206"/>
      <c r="AA43" s="176"/>
      <c r="AB43" s="193"/>
      <c r="AC43" s="194"/>
      <c r="AD43" s="194"/>
      <c r="AE43" s="194"/>
    </row>
    <row r="44" spans="1:31" s="26" customFormat="1" ht="63.75" customHeight="1">
      <c r="A44" s="200">
        <v>3</v>
      </c>
      <c r="B44" s="212" t="s">
        <v>165</v>
      </c>
      <c r="C44" s="200">
        <v>72</v>
      </c>
      <c r="D44" s="200">
        <v>50</v>
      </c>
      <c r="E44" s="226">
        <v>311</v>
      </c>
      <c r="F44" s="176" t="s">
        <v>0</v>
      </c>
      <c r="G44" s="230" t="s">
        <v>43</v>
      </c>
      <c r="H44" s="181">
        <f>E44</f>
        <v>311</v>
      </c>
      <c r="I44" s="254"/>
      <c r="J44" s="254"/>
      <c r="K44" s="230"/>
      <c r="L44" s="182">
        <f t="shared" si="14"/>
        <v>311</v>
      </c>
      <c r="M44" s="255">
        <f>SUM(L44:L53)</f>
        <v>1576.8999999999999</v>
      </c>
      <c r="N44" s="184">
        <v>60000</v>
      </c>
      <c r="O44" s="184">
        <f t="shared" si="15"/>
        <v>18660000</v>
      </c>
      <c r="P44" s="182" t="s">
        <v>30</v>
      </c>
      <c r="Q44" s="182">
        <f t="shared" si="16"/>
        <v>311</v>
      </c>
      <c r="R44" s="182" t="s">
        <v>39</v>
      </c>
      <c r="S44" s="184">
        <v>9500</v>
      </c>
      <c r="T44" s="184">
        <f t="shared" si="17"/>
        <v>2954500</v>
      </c>
      <c r="U44" s="184">
        <f t="shared" si="18"/>
        <v>3110000</v>
      </c>
      <c r="V44" s="184">
        <f t="shared" si="19"/>
        <v>55980000</v>
      </c>
      <c r="W44" s="184">
        <f t="shared" si="22"/>
        <v>8</v>
      </c>
      <c r="X44" s="185">
        <f t="shared" si="20"/>
        <v>28000000</v>
      </c>
      <c r="Y44" s="186">
        <f t="shared" si="21"/>
        <v>108704500</v>
      </c>
      <c r="Z44" s="210">
        <f>Y44</f>
        <v>108704500</v>
      </c>
      <c r="AA44" s="229"/>
      <c r="AB44" s="208"/>
      <c r="AC44" s="209"/>
      <c r="AD44" s="209"/>
      <c r="AE44" s="209"/>
    </row>
    <row r="45" spans="1:31" s="26" customFormat="1" ht="63.75" customHeight="1">
      <c r="A45" s="200">
        <v>3</v>
      </c>
      <c r="B45" s="212" t="s">
        <v>165</v>
      </c>
      <c r="C45" s="200">
        <v>72</v>
      </c>
      <c r="D45" s="200">
        <v>168</v>
      </c>
      <c r="E45" s="200">
        <v>146.9</v>
      </c>
      <c r="F45" s="200" t="s">
        <v>45</v>
      </c>
      <c r="G45" s="180" t="s">
        <v>44</v>
      </c>
      <c r="H45" s="181"/>
      <c r="I45" s="180">
        <f>E45</f>
        <v>146.9</v>
      </c>
      <c r="J45" s="180"/>
      <c r="K45" s="230"/>
      <c r="L45" s="182">
        <f t="shared" si="14"/>
        <v>146.9</v>
      </c>
      <c r="M45" s="256"/>
      <c r="N45" s="184">
        <v>60000</v>
      </c>
      <c r="O45" s="184">
        <f t="shared" si="15"/>
        <v>8814000</v>
      </c>
      <c r="P45" s="182" t="s">
        <v>30</v>
      </c>
      <c r="Q45" s="182">
        <f t="shared" si="16"/>
        <v>146.9</v>
      </c>
      <c r="R45" s="182" t="s">
        <v>39</v>
      </c>
      <c r="S45" s="184">
        <v>9500</v>
      </c>
      <c r="T45" s="184">
        <f t="shared" si="17"/>
        <v>1395550</v>
      </c>
      <c r="U45" s="184">
        <f t="shared" si="18"/>
        <v>1469000</v>
      </c>
      <c r="V45" s="184">
        <f t="shared" si="19"/>
        <v>26442000</v>
      </c>
      <c r="W45" s="184">
        <f t="shared" si="22"/>
        <v>0</v>
      </c>
      <c r="X45" s="185">
        <f t="shared" si="20"/>
        <v>0</v>
      </c>
      <c r="Y45" s="186">
        <f t="shared" si="21"/>
        <v>38120550</v>
      </c>
      <c r="Z45" s="210">
        <f aca="true" t="shared" si="23" ref="Z45:Z85">Y45</f>
        <v>38120550</v>
      </c>
      <c r="AA45" s="229"/>
      <c r="AB45" s="208"/>
      <c r="AC45" s="209"/>
      <c r="AD45" s="209"/>
      <c r="AE45" s="209"/>
    </row>
    <row r="46" spans="1:31" s="26" customFormat="1" ht="63.75" customHeight="1">
      <c r="A46" s="200">
        <v>3</v>
      </c>
      <c r="B46" s="212" t="s">
        <v>165</v>
      </c>
      <c r="C46" s="200">
        <v>72</v>
      </c>
      <c r="D46" s="200">
        <v>174</v>
      </c>
      <c r="E46" s="226">
        <v>139</v>
      </c>
      <c r="F46" s="200" t="s">
        <v>45</v>
      </c>
      <c r="G46" s="230" t="s">
        <v>44</v>
      </c>
      <c r="H46" s="181"/>
      <c r="I46" s="180">
        <f>E46</f>
        <v>139</v>
      </c>
      <c r="J46" s="180"/>
      <c r="K46" s="230"/>
      <c r="L46" s="182">
        <f t="shared" si="14"/>
        <v>139</v>
      </c>
      <c r="M46" s="256"/>
      <c r="N46" s="184">
        <v>60000</v>
      </c>
      <c r="O46" s="184">
        <f t="shared" si="15"/>
        <v>8340000</v>
      </c>
      <c r="P46" s="182" t="s">
        <v>30</v>
      </c>
      <c r="Q46" s="182">
        <f t="shared" si="16"/>
        <v>139</v>
      </c>
      <c r="R46" s="182" t="s">
        <v>38</v>
      </c>
      <c r="S46" s="184">
        <v>9500</v>
      </c>
      <c r="T46" s="184">
        <f t="shared" si="17"/>
        <v>1320500</v>
      </c>
      <c r="U46" s="184">
        <f t="shared" si="18"/>
        <v>1390000</v>
      </c>
      <c r="V46" s="184">
        <f t="shared" si="19"/>
        <v>25020000</v>
      </c>
      <c r="W46" s="184">
        <f t="shared" si="22"/>
        <v>0</v>
      </c>
      <c r="X46" s="185">
        <f t="shared" si="20"/>
        <v>0</v>
      </c>
      <c r="Y46" s="186">
        <f t="shared" si="21"/>
        <v>36070500</v>
      </c>
      <c r="Z46" s="210">
        <f t="shared" si="23"/>
        <v>36070500</v>
      </c>
      <c r="AA46" s="229"/>
      <c r="AB46" s="208"/>
      <c r="AC46" s="209"/>
      <c r="AD46" s="209"/>
      <c r="AE46" s="209"/>
    </row>
    <row r="47" spans="1:31" s="26" customFormat="1" ht="63.75" customHeight="1">
      <c r="A47" s="200">
        <v>3</v>
      </c>
      <c r="B47" s="212" t="s">
        <v>165</v>
      </c>
      <c r="C47" s="200">
        <v>72</v>
      </c>
      <c r="D47" s="200">
        <v>210</v>
      </c>
      <c r="E47" s="200">
        <v>53.2</v>
      </c>
      <c r="F47" s="200" t="s">
        <v>45</v>
      </c>
      <c r="G47" s="180" t="s">
        <v>44</v>
      </c>
      <c r="H47" s="181"/>
      <c r="I47" s="180">
        <f>E47</f>
        <v>53.2</v>
      </c>
      <c r="J47" s="180"/>
      <c r="K47" s="180"/>
      <c r="L47" s="182">
        <f t="shared" si="14"/>
        <v>53.2</v>
      </c>
      <c r="M47" s="256"/>
      <c r="N47" s="184">
        <v>60000</v>
      </c>
      <c r="O47" s="184">
        <f t="shared" si="15"/>
        <v>3192000</v>
      </c>
      <c r="P47" s="182" t="s">
        <v>30</v>
      </c>
      <c r="Q47" s="182">
        <f t="shared" si="16"/>
        <v>53.2</v>
      </c>
      <c r="R47" s="182" t="s">
        <v>38</v>
      </c>
      <c r="S47" s="184">
        <v>9500</v>
      </c>
      <c r="T47" s="184">
        <f t="shared" si="17"/>
        <v>505400</v>
      </c>
      <c r="U47" s="184">
        <f t="shared" si="18"/>
        <v>532000</v>
      </c>
      <c r="V47" s="184">
        <f t="shared" si="19"/>
        <v>9576000</v>
      </c>
      <c r="W47" s="184">
        <f t="shared" si="22"/>
        <v>0</v>
      </c>
      <c r="X47" s="185">
        <f t="shared" si="20"/>
        <v>0</v>
      </c>
      <c r="Y47" s="186">
        <f t="shared" si="21"/>
        <v>13805400</v>
      </c>
      <c r="Z47" s="210">
        <f t="shared" si="23"/>
        <v>13805400</v>
      </c>
      <c r="AA47" s="229"/>
      <c r="AB47" s="208"/>
      <c r="AC47" s="209"/>
      <c r="AD47" s="209"/>
      <c r="AE47" s="209"/>
    </row>
    <row r="48" spans="1:31" s="26" customFormat="1" ht="63.75" customHeight="1">
      <c r="A48" s="200">
        <v>3</v>
      </c>
      <c r="B48" s="212" t="s">
        <v>165</v>
      </c>
      <c r="C48" s="200">
        <v>72</v>
      </c>
      <c r="D48" s="200">
        <v>220</v>
      </c>
      <c r="E48" s="200">
        <v>193.7</v>
      </c>
      <c r="F48" s="200" t="s">
        <v>45</v>
      </c>
      <c r="G48" s="230" t="s">
        <v>44</v>
      </c>
      <c r="H48" s="181"/>
      <c r="I48" s="180">
        <f>E48</f>
        <v>193.7</v>
      </c>
      <c r="J48" s="180"/>
      <c r="K48" s="180"/>
      <c r="L48" s="182">
        <f t="shared" si="14"/>
        <v>193.7</v>
      </c>
      <c r="M48" s="256"/>
      <c r="N48" s="184">
        <v>60000</v>
      </c>
      <c r="O48" s="184">
        <f t="shared" si="15"/>
        <v>11622000</v>
      </c>
      <c r="P48" s="182" t="s">
        <v>30</v>
      </c>
      <c r="Q48" s="182">
        <f t="shared" si="16"/>
        <v>193.7</v>
      </c>
      <c r="R48" s="182" t="s">
        <v>38</v>
      </c>
      <c r="S48" s="184">
        <v>9500</v>
      </c>
      <c r="T48" s="184">
        <f t="shared" si="17"/>
        <v>1840150</v>
      </c>
      <c r="U48" s="184">
        <f t="shared" si="18"/>
        <v>1937000</v>
      </c>
      <c r="V48" s="184">
        <f t="shared" si="19"/>
        <v>34866000</v>
      </c>
      <c r="W48" s="184">
        <f t="shared" si="22"/>
        <v>0</v>
      </c>
      <c r="X48" s="185">
        <f t="shared" si="20"/>
        <v>0</v>
      </c>
      <c r="Y48" s="186">
        <f t="shared" si="21"/>
        <v>50265150</v>
      </c>
      <c r="Z48" s="210">
        <f t="shared" si="23"/>
        <v>50265150</v>
      </c>
      <c r="AA48" s="229"/>
      <c r="AB48" s="208"/>
      <c r="AC48" s="209"/>
      <c r="AD48" s="209"/>
      <c r="AE48" s="209"/>
    </row>
    <row r="49" spans="1:31" s="26" customFormat="1" ht="63.75" customHeight="1">
      <c r="A49" s="200">
        <v>3</v>
      </c>
      <c r="B49" s="212" t="s">
        <v>165</v>
      </c>
      <c r="C49" s="200">
        <v>82</v>
      </c>
      <c r="D49" s="200">
        <v>309</v>
      </c>
      <c r="E49" s="200">
        <v>406.5</v>
      </c>
      <c r="F49" s="200" t="s">
        <v>0</v>
      </c>
      <c r="G49" s="180" t="s">
        <v>32</v>
      </c>
      <c r="H49" s="181">
        <f>E49</f>
        <v>406.5</v>
      </c>
      <c r="I49" s="181"/>
      <c r="J49" s="181"/>
      <c r="K49" s="180"/>
      <c r="L49" s="182">
        <f t="shared" si="14"/>
        <v>406.5</v>
      </c>
      <c r="M49" s="256"/>
      <c r="N49" s="184">
        <v>60000</v>
      </c>
      <c r="O49" s="184">
        <f t="shared" si="15"/>
        <v>24390000</v>
      </c>
      <c r="P49" s="182" t="s">
        <v>30</v>
      </c>
      <c r="Q49" s="182">
        <f t="shared" si="16"/>
        <v>406.5</v>
      </c>
      <c r="R49" s="182" t="s">
        <v>38</v>
      </c>
      <c r="S49" s="184">
        <v>9500</v>
      </c>
      <c r="T49" s="184">
        <f t="shared" si="17"/>
        <v>3861750</v>
      </c>
      <c r="U49" s="184">
        <f t="shared" si="18"/>
        <v>4065000</v>
      </c>
      <c r="V49" s="184">
        <f t="shared" si="19"/>
        <v>73170000</v>
      </c>
      <c r="W49" s="184">
        <f t="shared" si="22"/>
        <v>0</v>
      </c>
      <c r="X49" s="185">
        <f t="shared" si="20"/>
        <v>0</v>
      </c>
      <c r="Y49" s="186">
        <f t="shared" si="21"/>
        <v>105486750</v>
      </c>
      <c r="Z49" s="210">
        <f t="shared" si="23"/>
        <v>105486750</v>
      </c>
      <c r="AA49" s="229"/>
      <c r="AB49" s="208"/>
      <c r="AC49" s="209"/>
      <c r="AD49" s="209"/>
      <c r="AE49" s="209"/>
    </row>
    <row r="50" spans="1:27" s="279" customFormat="1" ht="63.75" customHeight="1">
      <c r="A50" s="200">
        <v>3</v>
      </c>
      <c r="B50" s="212" t="s">
        <v>165</v>
      </c>
      <c r="C50" s="200">
        <v>82</v>
      </c>
      <c r="D50" s="200">
        <v>308</v>
      </c>
      <c r="E50" s="200">
        <v>608.1</v>
      </c>
      <c r="F50" s="200" t="s">
        <v>0</v>
      </c>
      <c r="G50" s="180" t="s">
        <v>32</v>
      </c>
      <c r="H50" s="181"/>
      <c r="I50" s="180">
        <f>25.5</f>
        <v>25.5</v>
      </c>
      <c r="J50" s="180"/>
      <c r="K50" s="180"/>
      <c r="L50" s="182">
        <f t="shared" si="14"/>
        <v>25.5</v>
      </c>
      <c r="M50" s="256"/>
      <c r="N50" s="184">
        <v>60000</v>
      </c>
      <c r="O50" s="184">
        <f>L50*N50</f>
        <v>1530000</v>
      </c>
      <c r="P50" s="182" t="s">
        <v>30</v>
      </c>
      <c r="Q50" s="182">
        <f>L50</f>
        <v>25.5</v>
      </c>
      <c r="R50" s="182" t="s">
        <v>38</v>
      </c>
      <c r="S50" s="184">
        <v>9500</v>
      </c>
      <c r="T50" s="184">
        <f t="shared" si="17"/>
        <v>242250</v>
      </c>
      <c r="U50" s="184">
        <f>L50*10000</f>
        <v>255000</v>
      </c>
      <c r="V50" s="184">
        <f>L50*N50*3</f>
        <v>4590000</v>
      </c>
      <c r="W50" s="184">
        <f t="shared" si="22"/>
        <v>0</v>
      </c>
      <c r="X50" s="185">
        <f t="shared" si="20"/>
        <v>0</v>
      </c>
      <c r="Y50" s="186">
        <f t="shared" si="21"/>
        <v>6617250</v>
      </c>
      <c r="Z50" s="210">
        <f>Y50</f>
        <v>6617250</v>
      </c>
      <c r="AA50" s="200"/>
    </row>
    <row r="51" spans="1:31" s="26" customFormat="1" ht="63.75" customHeight="1">
      <c r="A51" s="200">
        <v>3</v>
      </c>
      <c r="B51" s="212" t="s">
        <v>165</v>
      </c>
      <c r="C51" s="200">
        <v>82</v>
      </c>
      <c r="D51" s="200">
        <v>85</v>
      </c>
      <c r="E51" s="200">
        <v>153.5</v>
      </c>
      <c r="F51" s="200" t="s">
        <v>0</v>
      </c>
      <c r="G51" s="230" t="s">
        <v>32</v>
      </c>
      <c r="H51" s="181">
        <f>144</f>
        <v>144</v>
      </c>
      <c r="I51" s="181">
        <f>E51-H51</f>
        <v>9.5</v>
      </c>
      <c r="J51" s="181"/>
      <c r="K51" s="181"/>
      <c r="L51" s="182">
        <f t="shared" si="14"/>
        <v>153.5</v>
      </c>
      <c r="M51" s="256"/>
      <c r="N51" s="184">
        <v>60000</v>
      </c>
      <c r="O51" s="184">
        <f t="shared" si="15"/>
        <v>9210000</v>
      </c>
      <c r="P51" s="182" t="s">
        <v>30</v>
      </c>
      <c r="Q51" s="182">
        <f t="shared" si="16"/>
        <v>153.5</v>
      </c>
      <c r="R51" s="182" t="s">
        <v>38</v>
      </c>
      <c r="S51" s="184">
        <v>9500</v>
      </c>
      <c r="T51" s="184">
        <f t="shared" si="17"/>
        <v>1458250</v>
      </c>
      <c r="U51" s="184">
        <f t="shared" si="18"/>
        <v>1535000</v>
      </c>
      <c r="V51" s="184">
        <f t="shared" si="19"/>
        <v>27630000</v>
      </c>
      <c r="W51" s="184">
        <f t="shared" si="22"/>
        <v>0</v>
      </c>
      <c r="X51" s="185">
        <f t="shared" si="20"/>
        <v>0</v>
      </c>
      <c r="Y51" s="186">
        <f t="shared" si="21"/>
        <v>39833250</v>
      </c>
      <c r="Z51" s="210">
        <f t="shared" si="23"/>
        <v>39833250</v>
      </c>
      <c r="AA51" s="229"/>
      <c r="AB51" s="208"/>
      <c r="AC51" s="209"/>
      <c r="AD51" s="209"/>
      <c r="AE51" s="209"/>
    </row>
    <row r="52" spans="1:31" s="26" customFormat="1" ht="63.75" customHeight="1">
      <c r="A52" s="200">
        <v>3</v>
      </c>
      <c r="B52" s="212" t="s">
        <v>165</v>
      </c>
      <c r="C52" s="200">
        <v>72</v>
      </c>
      <c r="D52" s="200">
        <v>87</v>
      </c>
      <c r="E52" s="200">
        <v>68.1</v>
      </c>
      <c r="F52" s="200" t="s">
        <v>45</v>
      </c>
      <c r="G52" s="230" t="s">
        <v>44</v>
      </c>
      <c r="H52" s="181">
        <v>64.8</v>
      </c>
      <c r="I52" s="181">
        <f>E52-H52</f>
        <v>3.299999999999997</v>
      </c>
      <c r="J52" s="181"/>
      <c r="K52" s="181"/>
      <c r="L52" s="182">
        <f t="shared" si="14"/>
        <v>68.1</v>
      </c>
      <c r="M52" s="256"/>
      <c r="N52" s="184">
        <v>60000</v>
      </c>
      <c r="O52" s="184">
        <f t="shared" si="15"/>
        <v>4085999.9999999995</v>
      </c>
      <c r="P52" s="182" t="s">
        <v>30</v>
      </c>
      <c r="Q52" s="182">
        <f t="shared" si="16"/>
        <v>68.1</v>
      </c>
      <c r="R52" s="182" t="s">
        <v>38</v>
      </c>
      <c r="S52" s="184">
        <v>9500</v>
      </c>
      <c r="T52" s="184">
        <f t="shared" si="17"/>
        <v>646950</v>
      </c>
      <c r="U52" s="184">
        <f t="shared" si="18"/>
        <v>681000</v>
      </c>
      <c r="V52" s="184">
        <f t="shared" si="19"/>
        <v>12257999.999999998</v>
      </c>
      <c r="W52" s="184">
        <f t="shared" si="22"/>
        <v>0</v>
      </c>
      <c r="X52" s="185">
        <f t="shared" si="20"/>
        <v>0</v>
      </c>
      <c r="Y52" s="186">
        <f t="shared" si="21"/>
        <v>17671950</v>
      </c>
      <c r="Z52" s="210">
        <f t="shared" si="23"/>
        <v>17671950</v>
      </c>
      <c r="AA52" s="229"/>
      <c r="AB52" s="208"/>
      <c r="AC52" s="209"/>
      <c r="AD52" s="209"/>
      <c r="AE52" s="209"/>
    </row>
    <row r="53" spans="1:27" s="279" customFormat="1" ht="63.75" customHeight="1">
      <c r="A53" s="200">
        <v>3</v>
      </c>
      <c r="B53" s="212" t="s">
        <v>165</v>
      </c>
      <c r="C53" s="200">
        <v>81</v>
      </c>
      <c r="D53" s="200">
        <v>69</v>
      </c>
      <c r="E53" s="200">
        <v>79.5</v>
      </c>
      <c r="F53" s="200" t="s">
        <v>0</v>
      </c>
      <c r="G53" s="230" t="s">
        <v>37</v>
      </c>
      <c r="H53" s="181">
        <f>E53</f>
        <v>79.5</v>
      </c>
      <c r="I53" s="181"/>
      <c r="J53" s="181"/>
      <c r="K53" s="180"/>
      <c r="L53" s="182">
        <f t="shared" si="14"/>
        <v>79.5</v>
      </c>
      <c r="M53" s="278"/>
      <c r="N53" s="184">
        <v>60000</v>
      </c>
      <c r="O53" s="184">
        <f>L53*N53</f>
        <v>4770000</v>
      </c>
      <c r="P53" s="182" t="s">
        <v>30</v>
      </c>
      <c r="Q53" s="182">
        <f>L53</f>
        <v>79.5</v>
      </c>
      <c r="R53" s="182" t="s">
        <v>38</v>
      </c>
      <c r="S53" s="184">
        <v>9500</v>
      </c>
      <c r="T53" s="184">
        <f>Q53*S53</f>
        <v>755250</v>
      </c>
      <c r="U53" s="184">
        <f>L53*10000</f>
        <v>795000</v>
      </c>
      <c r="V53" s="184">
        <f>L53*N53*3</f>
        <v>14310000</v>
      </c>
      <c r="W53" s="184">
        <f t="shared" si="22"/>
        <v>0</v>
      </c>
      <c r="X53" s="185">
        <f>W53*3500000</f>
        <v>0</v>
      </c>
      <c r="Y53" s="186">
        <f t="shared" si="21"/>
        <v>20630250</v>
      </c>
      <c r="Z53" s="210">
        <f>Y53</f>
        <v>20630250</v>
      </c>
      <c r="AA53" s="200"/>
    </row>
    <row r="54" spans="1:31" s="26" customFormat="1" ht="63.75" customHeight="1">
      <c r="A54" s="200">
        <v>4</v>
      </c>
      <c r="B54" s="212" t="s">
        <v>166</v>
      </c>
      <c r="C54" s="200">
        <v>82</v>
      </c>
      <c r="D54" s="200">
        <v>329</v>
      </c>
      <c r="E54" s="200">
        <v>443.9</v>
      </c>
      <c r="F54" s="227" t="s">
        <v>0</v>
      </c>
      <c r="G54" s="230" t="s">
        <v>44</v>
      </c>
      <c r="H54" s="230"/>
      <c r="I54" s="180">
        <v>432</v>
      </c>
      <c r="J54" s="180"/>
      <c r="K54" s="180"/>
      <c r="L54" s="182">
        <f t="shared" si="14"/>
        <v>432</v>
      </c>
      <c r="M54" s="282">
        <f>L54</f>
        <v>432</v>
      </c>
      <c r="N54" s="184">
        <v>60000</v>
      </c>
      <c r="O54" s="184">
        <f t="shared" si="15"/>
        <v>25920000</v>
      </c>
      <c r="P54" s="182" t="s">
        <v>30</v>
      </c>
      <c r="Q54" s="182">
        <f t="shared" si="16"/>
        <v>432</v>
      </c>
      <c r="R54" s="182" t="s">
        <v>38</v>
      </c>
      <c r="S54" s="184">
        <v>9500</v>
      </c>
      <c r="T54" s="184">
        <f t="shared" si="17"/>
        <v>4104000</v>
      </c>
      <c r="U54" s="184">
        <f t="shared" si="18"/>
        <v>4320000</v>
      </c>
      <c r="V54" s="184">
        <f t="shared" si="19"/>
        <v>77760000</v>
      </c>
      <c r="W54" s="184">
        <f t="shared" si="22"/>
        <v>2</v>
      </c>
      <c r="X54" s="185">
        <f t="shared" si="20"/>
        <v>7000000</v>
      </c>
      <c r="Y54" s="186">
        <f t="shared" si="21"/>
        <v>119104000</v>
      </c>
      <c r="Z54" s="210">
        <f t="shared" si="23"/>
        <v>119104000</v>
      </c>
      <c r="AA54" s="229" t="s">
        <v>71</v>
      </c>
      <c r="AB54" s="208"/>
      <c r="AC54" s="208" t="s">
        <v>103</v>
      </c>
      <c r="AD54" s="209"/>
      <c r="AE54" s="209"/>
    </row>
    <row r="55" spans="1:31" s="26" customFormat="1" ht="63.75" customHeight="1">
      <c r="A55" s="200">
        <v>5</v>
      </c>
      <c r="B55" s="224" t="s">
        <v>167</v>
      </c>
      <c r="C55" s="225">
        <v>72</v>
      </c>
      <c r="D55" s="225">
        <v>96</v>
      </c>
      <c r="E55" s="226">
        <v>65.3</v>
      </c>
      <c r="F55" s="227" t="s">
        <v>45</v>
      </c>
      <c r="G55" s="180" t="s">
        <v>44</v>
      </c>
      <c r="H55" s="180"/>
      <c r="I55" s="180">
        <v>65.3</v>
      </c>
      <c r="J55" s="180"/>
      <c r="K55" s="180"/>
      <c r="L55" s="182">
        <f t="shared" si="14"/>
        <v>65.3</v>
      </c>
      <c r="M55" s="255">
        <f>SUM(L55:L60)</f>
        <v>846.3</v>
      </c>
      <c r="N55" s="184">
        <v>60000</v>
      </c>
      <c r="O55" s="184">
        <f t="shared" si="15"/>
        <v>3918000</v>
      </c>
      <c r="P55" s="182" t="s">
        <v>30</v>
      </c>
      <c r="Q55" s="182">
        <f t="shared" si="16"/>
        <v>65.3</v>
      </c>
      <c r="R55" s="182" t="s">
        <v>38</v>
      </c>
      <c r="S55" s="184">
        <v>9500</v>
      </c>
      <c r="T55" s="184">
        <f t="shared" si="17"/>
        <v>620350</v>
      </c>
      <c r="U55" s="184">
        <f t="shared" si="18"/>
        <v>653000</v>
      </c>
      <c r="V55" s="184">
        <f t="shared" si="19"/>
        <v>11754000</v>
      </c>
      <c r="W55" s="184">
        <f t="shared" si="22"/>
        <v>4</v>
      </c>
      <c r="X55" s="185">
        <f t="shared" si="20"/>
        <v>14000000</v>
      </c>
      <c r="Y55" s="186">
        <f t="shared" si="21"/>
        <v>30945350</v>
      </c>
      <c r="Z55" s="210">
        <f t="shared" si="23"/>
        <v>30945350</v>
      </c>
      <c r="AA55" s="229"/>
      <c r="AB55" s="208"/>
      <c r="AC55" s="209"/>
      <c r="AD55" s="209"/>
      <c r="AE55" s="209"/>
    </row>
    <row r="56" spans="1:31" s="29" customFormat="1" ht="63.75" customHeight="1">
      <c r="A56" s="231">
        <v>5</v>
      </c>
      <c r="B56" s="232" t="s">
        <v>167</v>
      </c>
      <c r="C56" s="257">
        <v>72</v>
      </c>
      <c r="D56" s="257">
        <v>94</v>
      </c>
      <c r="E56" s="233">
        <v>142.2</v>
      </c>
      <c r="F56" s="234" t="s">
        <v>45</v>
      </c>
      <c r="G56" s="258" t="s">
        <v>44</v>
      </c>
      <c r="H56" s="235"/>
      <c r="I56" s="235">
        <v>142.2</v>
      </c>
      <c r="J56" s="235"/>
      <c r="K56" s="235"/>
      <c r="L56" s="236">
        <f t="shared" si="14"/>
        <v>142.2</v>
      </c>
      <c r="M56" s="259"/>
      <c r="N56" s="238">
        <v>60000</v>
      </c>
      <c r="O56" s="238">
        <f t="shared" si="15"/>
        <v>8532000</v>
      </c>
      <c r="P56" s="236" t="s">
        <v>30</v>
      </c>
      <c r="Q56" s="236">
        <f t="shared" si="16"/>
        <v>142.2</v>
      </c>
      <c r="R56" s="236" t="s">
        <v>38</v>
      </c>
      <c r="S56" s="238">
        <v>9500</v>
      </c>
      <c r="T56" s="238">
        <f t="shared" si="17"/>
        <v>1350900</v>
      </c>
      <c r="U56" s="238">
        <f t="shared" si="18"/>
        <v>1422000</v>
      </c>
      <c r="V56" s="238">
        <f t="shared" si="19"/>
        <v>25596000</v>
      </c>
      <c r="W56" s="238">
        <f t="shared" si="22"/>
        <v>0</v>
      </c>
      <c r="X56" s="239">
        <f t="shared" si="20"/>
        <v>0</v>
      </c>
      <c r="Y56" s="240">
        <f t="shared" si="21"/>
        <v>36900900</v>
      </c>
      <c r="Z56" s="241">
        <f t="shared" si="23"/>
        <v>36900900</v>
      </c>
      <c r="AA56" s="242"/>
      <c r="AB56" s="243"/>
      <c r="AC56" s="244"/>
      <c r="AD56" s="244"/>
      <c r="AE56" s="244"/>
    </row>
    <row r="57" spans="1:31" s="26" customFormat="1" ht="63.75" customHeight="1">
      <c r="A57" s="200">
        <v>5</v>
      </c>
      <c r="B57" s="224" t="s">
        <v>167</v>
      </c>
      <c r="C57" s="225">
        <v>71</v>
      </c>
      <c r="D57" s="225">
        <v>115</v>
      </c>
      <c r="E57" s="226">
        <v>198.6</v>
      </c>
      <c r="F57" s="227" t="s">
        <v>45</v>
      </c>
      <c r="G57" s="180" t="s">
        <v>32</v>
      </c>
      <c r="H57" s="180"/>
      <c r="I57" s="180">
        <v>198.6</v>
      </c>
      <c r="J57" s="180"/>
      <c r="K57" s="180"/>
      <c r="L57" s="182">
        <f t="shared" si="14"/>
        <v>198.6</v>
      </c>
      <c r="M57" s="228"/>
      <c r="N57" s="184">
        <v>60000</v>
      </c>
      <c r="O57" s="184">
        <f t="shared" si="15"/>
        <v>11916000</v>
      </c>
      <c r="P57" s="182" t="s">
        <v>30</v>
      </c>
      <c r="Q57" s="182">
        <f t="shared" si="16"/>
        <v>198.6</v>
      </c>
      <c r="R57" s="182" t="s">
        <v>38</v>
      </c>
      <c r="S57" s="184">
        <v>9500</v>
      </c>
      <c r="T57" s="184">
        <f t="shared" si="17"/>
        <v>1886700</v>
      </c>
      <c r="U57" s="184">
        <f t="shared" si="18"/>
        <v>1986000</v>
      </c>
      <c r="V57" s="184">
        <f t="shared" si="19"/>
        <v>35748000</v>
      </c>
      <c r="W57" s="184">
        <f t="shared" si="22"/>
        <v>0</v>
      </c>
      <c r="X57" s="185">
        <f t="shared" si="20"/>
        <v>0</v>
      </c>
      <c r="Y57" s="186">
        <f t="shared" si="21"/>
        <v>51536700</v>
      </c>
      <c r="Z57" s="210">
        <f t="shared" si="23"/>
        <v>51536700</v>
      </c>
      <c r="AA57" s="229"/>
      <c r="AB57" s="208"/>
      <c r="AC57" s="209"/>
      <c r="AD57" s="209"/>
      <c r="AE57" s="209"/>
    </row>
    <row r="58" spans="1:31" s="26" customFormat="1" ht="63.75" customHeight="1">
      <c r="A58" s="200">
        <v>5</v>
      </c>
      <c r="B58" s="224" t="s">
        <v>167</v>
      </c>
      <c r="C58" s="225">
        <v>71</v>
      </c>
      <c r="D58" s="225">
        <v>50</v>
      </c>
      <c r="E58" s="226">
        <v>339.5</v>
      </c>
      <c r="F58" s="227" t="s">
        <v>0</v>
      </c>
      <c r="G58" s="230" t="s">
        <v>32</v>
      </c>
      <c r="H58" s="180"/>
      <c r="I58" s="180">
        <v>339.5</v>
      </c>
      <c r="J58" s="180"/>
      <c r="K58" s="180"/>
      <c r="L58" s="182">
        <f t="shared" si="14"/>
        <v>339.5</v>
      </c>
      <c r="M58" s="228"/>
      <c r="N58" s="184">
        <v>60000</v>
      </c>
      <c r="O58" s="184">
        <f t="shared" si="15"/>
        <v>20370000</v>
      </c>
      <c r="P58" s="182" t="s">
        <v>30</v>
      </c>
      <c r="Q58" s="182">
        <f t="shared" si="16"/>
        <v>339.5</v>
      </c>
      <c r="R58" s="182" t="s">
        <v>38</v>
      </c>
      <c r="S58" s="184">
        <v>9500</v>
      </c>
      <c r="T58" s="184">
        <f t="shared" si="17"/>
        <v>3225250</v>
      </c>
      <c r="U58" s="184">
        <f t="shared" si="18"/>
        <v>3395000</v>
      </c>
      <c r="V58" s="184">
        <f t="shared" si="19"/>
        <v>61110000</v>
      </c>
      <c r="W58" s="184">
        <f t="shared" si="22"/>
        <v>0</v>
      </c>
      <c r="X58" s="185">
        <f t="shared" si="20"/>
        <v>0</v>
      </c>
      <c r="Y58" s="186">
        <f t="shared" si="21"/>
        <v>88100250</v>
      </c>
      <c r="Z58" s="210">
        <f t="shared" si="23"/>
        <v>88100250</v>
      </c>
      <c r="AA58" s="229"/>
      <c r="AB58" s="208"/>
      <c r="AC58" s="209"/>
      <c r="AD58" s="209"/>
      <c r="AE58" s="209"/>
    </row>
    <row r="59" spans="1:31" s="26" customFormat="1" ht="63.75" customHeight="1">
      <c r="A59" s="200">
        <v>5</v>
      </c>
      <c r="B59" s="224" t="s">
        <v>167</v>
      </c>
      <c r="C59" s="200">
        <v>71</v>
      </c>
      <c r="D59" s="200">
        <v>37</v>
      </c>
      <c r="E59" s="226">
        <v>58.3</v>
      </c>
      <c r="F59" s="227" t="s">
        <v>0</v>
      </c>
      <c r="G59" s="180" t="s">
        <v>32</v>
      </c>
      <c r="H59" s="180"/>
      <c r="I59" s="180">
        <v>58.3</v>
      </c>
      <c r="J59" s="180"/>
      <c r="K59" s="180"/>
      <c r="L59" s="182">
        <f t="shared" si="14"/>
        <v>58.3</v>
      </c>
      <c r="M59" s="228"/>
      <c r="N59" s="184">
        <v>60000</v>
      </c>
      <c r="O59" s="184">
        <f t="shared" si="15"/>
        <v>3498000</v>
      </c>
      <c r="P59" s="182" t="s">
        <v>30</v>
      </c>
      <c r="Q59" s="182">
        <f t="shared" si="16"/>
        <v>58.3</v>
      </c>
      <c r="R59" s="182" t="s">
        <v>38</v>
      </c>
      <c r="S59" s="184">
        <v>9500</v>
      </c>
      <c r="T59" s="184">
        <f t="shared" si="17"/>
        <v>553850</v>
      </c>
      <c r="U59" s="184">
        <f t="shared" si="18"/>
        <v>583000</v>
      </c>
      <c r="V59" s="184">
        <f t="shared" si="19"/>
        <v>10494000</v>
      </c>
      <c r="W59" s="184">
        <f t="shared" si="22"/>
        <v>0</v>
      </c>
      <c r="X59" s="185">
        <f t="shared" si="20"/>
        <v>0</v>
      </c>
      <c r="Y59" s="186">
        <f t="shared" si="21"/>
        <v>15128850</v>
      </c>
      <c r="Z59" s="210">
        <f t="shared" si="23"/>
        <v>15128850</v>
      </c>
      <c r="AA59" s="229"/>
      <c r="AB59" s="208"/>
      <c r="AC59" s="209"/>
      <c r="AD59" s="209"/>
      <c r="AE59" s="209"/>
    </row>
    <row r="60" spans="1:31" s="29" customFormat="1" ht="62.25" customHeight="1">
      <c r="A60" s="231">
        <v>5</v>
      </c>
      <c r="B60" s="232" t="s">
        <v>167</v>
      </c>
      <c r="C60" s="231">
        <v>72</v>
      </c>
      <c r="D60" s="231">
        <v>57</v>
      </c>
      <c r="E60" s="233">
        <v>42.4</v>
      </c>
      <c r="F60" s="234" t="s">
        <v>45</v>
      </c>
      <c r="G60" s="235" t="s">
        <v>76</v>
      </c>
      <c r="H60" s="235"/>
      <c r="I60" s="235">
        <v>42.4</v>
      </c>
      <c r="J60" s="235"/>
      <c r="K60" s="235"/>
      <c r="L60" s="236">
        <f t="shared" si="14"/>
        <v>42.4</v>
      </c>
      <c r="M60" s="237"/>
      <c r="N60" s="238">
        <v>60000</v>
      </c>
      <c r="O60" s="238">
        <f>L60*N60</f>
        <v>2544000</v>
      </c>
      <c r="P60" s="236" t="s">
        <v>30</v>
      </c>
      <c r="Q60" s="236">
        <f>L60</f>
        <v>42.4</v>
      </c>
      <c r="R60" s="236" t="s">
        <v>38</v>
      </c>
      <c r="S60" s="238">
        <v>9500</v>
      </c>
      <c r="T60" s="238">
        <f>Q60*S60</f>
        <v>402800</v>
      </c>
      <c r="U60" s="238">
        <f>L60*10000</f>
        <v>424000</v>
      </c>
      <c r="V60" s="238">
        <f>L60*N60*3</f>
        <v>7632000</v>
      </c>
      <c r="W60" s="238">
        <f t="shared" si="22"/>
        <v>0</v>
      </c>
      <c r="X60" s="239">
        <f>W60*3500000</f>
        <v>0</v>
      </c>
      <c r="Y60" s="240">
        <f t="shared" si="21"/>
        <v>11002800</v>
      </c>
      <c r="Z60" s="241">
        <f>Y60</f>
        <v>11002800</v>
      </c>
      <c r="AA60" s="242"/>
      <c r="AB60" s="243"/>
      <c r="AC60" s="244"/>
      <c r="AD60" s="244"/>
      <c r="AE60" s="244"/>
    </row>
    <row r="61" spans="1:31" s="26" customFormat="1" ht="63.75" customHeight="1">
      <c r="A61" s="200">
        <v>6</v>
      </c>
      <c r="B61" s="177" t="s">
        <v>168</v>
      </c>
      <c r="C61" s="225">
        <v>82</v>
      </c>
      <c r="D61" s="225">
        <v>119</v>
      </c>
      <c r="E61" s="226">
        <v>111.9</v>
      </c>
      <c r="F61" s="227" t="s">
        <v>0</v>
      </c>
      <c r="G61" s="180" t="s">
        <v>54</v>
      </c>
      <c r="H61" s="181">
        <v>110.30000000000001</v>
      </c>
      <c r="I61" s="180">
        <v>1.6</v>
      </c>
      <c r="J61" s="180"/>
      <c r="K61" s="180"/>
      <c r="L61" s="182">
        <f t="shared" si="14"/>
        <v>111.9</v>
      </c>
      <c r="M61" s="265">
        <f>L61+L62</f>
        <v>234.9</v>
      </c>
      <c r="N61" s="184">
        <v>60000</v>
      </c>
      <c r="O61" s="184">
        <f t="shared" si="15"/>
        <v>6714000</v>
      </c>
      <c r="P61" s="182" t="s">
        <v>30</v>
      </c>
      <c r="Q61" s="182">
        <f t="shared" si="16"/>
        <v>111.9</v>
      </c>
      <c r="R61" s="182" t="s">
        <v>38</v>
      </c>
      <c r="S61" s="184">
        <v>9500</v>
      </c>
      <c r="T61" s="184">
        <f t="shared" si="17"/>
        <v>1063050</v>
      </c>
      <c r="U61" s="184">
        <f t="shared" si="18"/>
        <v>1119000</v>
      </c>
      <c r="V61" s="184">
        <f t="shared" si="19"/>
        <v>20142000</v>
      </c>
      <c r="W61" s="184">
        <f t="shared" si="22"/>
        <v>1</v>
      </c>
      <c r="X61" s="185">
        <f aca="true" t="shared" si="24" ref="X61:X85">W61*3500000</f>
        <v>3500000</v>
      </c>
      <c r="Y61" s="186">
        <f t="shared" si="21"/>
        <v>32538050</v>
      </c>
      <c r="Z61" s="210">
        <f t="shared" si="23"/>
        <v>32538050</v>
      </c>
      <c r="AA61" s="229"/>
      <c r="AB61" s="208"/>
      <c r="AC61" s="209"/>
      <c r="AD61" s="209"/>
      <c r="AE61" s="209"/>
    </row>
    <row r="62" spans="1:31" s="26" customFormat="1" ht="63.75" customHeight="1">
      <c r="A62" s="200">
        <v>6</v>
      </c>
      <c r="B62" s="177" t="s">
        <v>168</v>
      </c>
      <c r="C62" s="200">
        <v>82</v>
      </c>
      <c r="D62" s="200">
        <v>5</v>
      </c>
      <c r="E62" s="200">
        <v>123</v>
      </c>
      <c r="F62" s="227" t="s">
        <v>0</v>
      </c>
      <c r="G62" s="176" t="s">
        <v>44</v>
      </c>
      <c r="H62" s="181">
        <v>123</v>
      </c>
      <c r="I62" s="180"/>
      <c r="J62" s="180"/>
      <c r="K62" s="180"/>
      <c r="L62" s="182">
        <f t="shared" si="14"/>
        <v>123</v>
      </c>
      <c r="M62" s="266"/>
      <c r="N62" s="184">
        <v>60000</v>
      </c>
      <c r="O62" s="184">
        <f t="shared" si="15"/>
        <v>7380000</v>
      </c>
      <c r="P62" s="182" t="s">
        <v>30</v>
      </c>
      <c r="Q62" s="182">
        <f t="shared" si="16"/>
        <v>123</v>
      </c>
      <c r="R62" s="182" t="s">
        <v>38</v>
      </c>
      <c r="S62" s="184">
        <v>9500</v>
      </c>
      <c r="T62" s="184">
        <f t="shared" si="17"/>
        <v>1168500</v>
      </c>
      <c r="U62" s="184">
        <f t="shared" si="18"/>
        <v>1230000</v>
      </c>
      <c r="V62" s="184">
        <f t="shared" si="19"/>
        <v>22140000</v>
      </c>
      <c r="W62" s="184">
        <f t="shared" si="22"/>
        <v>0</v>
      </c>
      <c r="X62" s="185">
        <f t="shared" si="24"/>
        <v>0</v>
      </c>
      <c r="Y62" s="186">
        <f t="shared" si="21"/>
        <v>31918500</v>
      </c>
      <c r="Z62" s="210">
        <f t="shared" si="23"/>
        <v>31918500</v>
      </c>
      <c r="AA62" s="229"/>
      <c r="AB62" s="208"/>
      <c r="AC62" s="209"/>
      <c r="AD62" s="209"/>
      <c r="AE62" s="209"/>
    </row>
    <row r="63" spans="1:31" s="26" customFormat="1" ht="63.75" customHeight="1">
      <c r="A63" s="200">
        <v>7</v>
      </c>
      <c r="B63" s="260" t="s">
        <v>169</v>
      </c>
      <c r="C63" s="200">
        <v>72</v>
      </c>
      <c r="D63" s="200">
        <v>102</v>
      </c>
      <c r="E63" s="200">
        <v>135.1</v>
      </c>
      <c r="F63" s="200" t="s">
        <v>45</v>
      </c>
      <c r="G63" s="180" t="s">
        <v>44</v>
      </c>
      <c r="H63" s="181"/>
      <c r="I63" s="180">
        <f>K63</f>
        <v>135.1</v>
      </c>
      <c r="J63" s="180"/>
      <c r="K63" s="181">
        <f>135.1</f>
        <v>135.1</v>
      </c>
      <c r="L63" s="182">
        <f t="shared" si="14"/>
        <v>270.2</v>
      </c>
      <c r="M63" s="226">
        <f>L63</f>
        <v>270.2</v>
      </c>
      <c r="N63" s="184">
        <v>60000</v>
      </c>
      <c r="O63" s="184">
        <f t="shared" si="15"/>
        <v>16212000</v>
      </c>
      <c r="P63" s="182" t="s">
        <v>30</v>
      </c>
      <c r="Q63" s="182">
        <f t="shared" si="16"/>
        <v>270.2</v>
      </c>
      <c r="R63" s="182" t="s">
        <v>38</v>
      </c>
      <c r="S63" s="184">
        <v>9500</v>
      </c>
      <c r="T63" s="184">
        <f t="shared" si="17"/>
        <v>2566900</v>
      </c>
      <c r="U63" s="184">
        <f t="shared" si="18"/>
        <v>2702000</v>
      </c>
      <c r="V63" s="184">
        <f t="shared" si="19"/>
        <v>48636000</v>
      </c>
      <c r="W63" s="184">
        <f t="shared" si="22"/>
        <v>1</v>
      </c>
      <c r="X63" s="185">
        <f t="shared" si="24"/>
        <v>3500000</v>
      </c>
      <c r="Y63" s="186">
        <f t="shared" si="21"/>
        <v>73616900</v>
      </c>
      <c r="Z63" s="210">
        <f t="shared" si="23"/>
        <v>73616900</v>
      </c>
      <c r="AA63" s="229"/>
      <c r="AB63" s="208"/>
      <c r="AC63" s="209"/>
      <c r="AD63" s="209"/>
      <c r="AE63" s="209"/>
    </row>
    <row r="64" spans="1:31" s="26" customFormat="1" ht="63.75" customHeight="1">
      <c r="A64" s="200">
        <v>8</v>
      </c>
      <c r="B64" s="212" t="s">
        <v>170</v>
      </c>
      <c r="C64" s="200">
        <v>72</v>
      </c>
      <c r="D64" s="200">
        <v>161</v>
      </c>
      <c r="E64" s="200">
        <v>140.2</v>
      </c>
      <c r="F64" s="200" t="s">
        <v>45</v>
      </c>
      <c r="G64" s="180" t="s">
        <v>44</v>
      </c>
      <c r="H64" s="181">
        <f>E64</f>
        <v>140.2</v>
      </c>
      <c r="I64" s="181"/>
      <c r="J64" s="181"/>
      <c r="K64" s="180"/>
      <c r="L64" s="182">
        <f t="shared" si="14"/>
        <v>140.2</v>
      </c>
      <c r="M64" s="261">
        <f>L64+L65</f>
        <v>448.4</v>
      </c>
      <c r="N64" s="184">
        <v>60000</v>
      </c>
      <c r="O64" s="184">
        <f t="shared" si="15"/>
        <v>8412000</v>
      </c>
      <c r="P64" s="182" t="s">
        <v>30</v>
      </c>
      <c r="Q64" s="182">
        <f t="shared" si="16"/>
        <v>140.2</v>
      </c>
      <c r="R64" s="182" t="s">
        <v>38</v>
      </c>
      <c r="S64" s="184">
        <v>9500</v>
      </c>
      <c r="T64" s="184">
        <f t="shared" si="17"/>
        <v>1331900</v>
      </c>
      <c r="U64" s="184">
        <f t="shared" si="18"/>
        <v>1402000</v>
      </c>
      <c r="V64" s="184">
        <f t="shared" si="19"/>
        <v>25236000</v>
      </c>
      <c r="W64" s="184">
        <f t="shared" si="22"/>
        <v>2</v>
      </c>
      <c r="X64" s="185">
        <f t="shared" si="24"/>
        <v>7000000</v>
      </c>
      <c r="Y64" s="186">
        <f t="shared" si="21"/>
        <v>43381900</v>
      </c>
      <c r="Z64" s="187">
        <f>Y64+Y65</f>
        <v>123359800</v>
      </c>
      <c r="AA64" s="229"/>
      <c r="AB64" s="208"/>
      <c r="AC64" s="262" t="s">
        <v>86</v>
      </c>
      <c r="AD64" s="209"/>
      <c r="AE64" s="209"/>
    </row>
    <row r="65" spans="1:31" s="26" customFormat="1" ht="63.75" customHeight="1">
      <c r="A65" s="200">
        <v>8</v>
      </c>
      <c r="B65" s="212" t="s">
        <v>170</v>
      </c>
      <c r="C65" s="200">
        <v>82</v>
      </c>
      <c r="D65" s="200">
        <v>88</v>
      </c>
      <c r="E65" s="200">
        <v>308.2</v>
      </c>
      <c r="F65" s="200" t="s">
        <v>0</v>
      </c>
      <c r="G65" s="176" t="s">
        <v>32</v>
      </c>
      <c r="H65" s="181">
        <v>292.5</v>
      </c>
      <c r="I65" s="180"/>
      <c r="J65" s="180">
        <v>15.7</v>
      </c>
      <c r="K65" s="180"/>
      <c r="L65" s="182">
        <f t="shared" si="14"/>
        <v>308.2</v>
      </c>
      <c r="M65" s="283"/>
      <c r="N65" s="184">
        <v>60000</v>
      </c>
      <c r="O65" s="184">
        <f t="shared" si="15"/>
        <v>18492000</v>
      </c>
      <c r="P65" s="182" t="s">
        <v>30</v>
      </c>
      <c r="Q65" s="182">
        <f t="shared" si="16"/>
        <v>308.2</v>
      </c>
      <c r="R65" s="182" t="s">
        <v>38</v>
      </c>
      <c r="S65" s="184">
        <v>9500</v>
      </c>
      <c r="T65" s="184">
        <f>Q65*S65</f>
        <v>2927900</v>
      </c>
      <c r="U65" s="184">
        <f t="shared" si="18"/>
        <v>3082000</v>
      </c>
      <c r="V65" s="184">
        <f t="shared" si="19"/>
        <v>55476000</v>
      </c>
      <c r="W65" s="184">
        <f t="shared" si="22"/>
        <v>0</v>
      </c>
      <c r="X65" s="185">
        <f t="shared" si="24"/>
        <v>0</v>
      </c>
      <c r="Y65" s="186">
        <f t="shared" si="21"/>
        <v>79977900</v>
      </c>
      <c r="Z65" s="206"/>
      <c r="AA65" s="229"/>
      <c r="AB65" s="262"/>
      <c r="AC65" s="262"/>
      <c r="AD65" s="209"/>
      <c r="AE65" s="262" t="s">
        <v>86</v>
      </c>
    </row>
    <row r="66" spans="1:31" s="26" customFormat="1" ht="63.75" customHeight="1">
      <c r="A66" s="200">
        <v>9</v>
      </c>
      <c r="B66" s="177" t="s">
        <v>171</v>
      </c>
      <c r="C66" s="200">
        <v>72</v>
      </c>
      <c r="D66" s="200">
        <v>258</v>
      </c>
      <c r="E66" s="200">
        <v>256.2</v>
      </c>
      <c r="F66" s="200" t="s">
        <v>0</v>
      </c>
      <c r="G66" s="176" t="s">
        <v>32</v>
      </c>
      <c r="H66" s="181">
        <f>E66</f>
        <v>256.2</v>
      </c>
      <c r="I66" s="181"/>
      <c r="J66" s="181"/>
      <c r="K66" s="180"/>
      <c r="L66" s="182">
        <f t="shared" si="14"/>
        <v>256.2</v>
      </c>
      <c r="M66" s="263">
        <f>L66+L67+L68</f>
        <v>775.9</v>
      </c>
      <c r="N66" s="184">
        <v>60000</v>
      </c>
      <c r="O66" s="184">
        <f t="shared" si="15"/>
        <v>15372000</v>
      </c>
      <c r="P66" s="182" t="s">
        <v>30</v>
      </c>
      <c r="Q66" s="182">
        <f t="shared" si="16"/>
        <v>256.2</v>
      </c>
      <c r="R66" s="182" t="s">
        <v>38</v>
      </c>
      <c r="S66" s="184">
        <v>9500</v>
      </c>
      <c r="T66" s="184">
        <f t="shared" si="17"/>
        <v>2433900</v>
      </c>
      <c r="U66" s="184">
        <f t="shared" si="18"/>
        <v>2562000</v>
      </c>
      <c r="V66" s="184">
        <f t="shared" si="19"/>
        <v>46116000</v>
      </c>
      <c r="W66" s="184">
        <f t="shared" si="22"/>
        <v>4</v>
      </c>
      <c r="X66" s="185">
        <f t="shared" si="24"/>
        <v>14000000</v>
      </c>
      <c r="Y66" s="186">
        <f t="shared" si="21"/>
        <v>80483900</v>
      </c>
      <c r="Z66" s="210">
        <f t="shared" si="23"/>
        <v>80483900</v>
      </c>
      <c r="AA66" s="251"/>
      <c r="AB66" s="208" t="s">
        <v>53</v>
      </c>
      <c r="AC66" s="209"/>
      <c r="AD66" s="209"/>
      <c r="AE66" s="209"/>
    </row>
    <row r="67" spans="1:27" s="279" customFormat="1" ht="63.75" customHeight="1">
      <c r="A67" s="200">
        <v>9</v>
      </c>
      <c r="B67" s="177" t="s">
        <v>171</v>
      </c>
      <c r="C67" s="200">
        <v>81</v>
      </c>
      <c r="D67" s="200">
        <v>68</v>
      </c>
      <c r="E67" s="200">
        <v>65.2</v>
      </c>
      <c r="F67" s="200" t="s">
        <v>0</v>
      </c>
      <c r="G67" s="176" t="s">
        <v>37</v>
      </c>
      <c r="H67" s="181">
        <f>E67</f>
        <v>65.2</v>
      </c>
      <c r="I67" s="181"/>
      <c r="J67" s="181"/>
      <c r="K67" s="180"/>
      <c r="L67" s="182">
        <f t="shared" si="14"/>
        <v>65.2</v>
      </c>
      <c r="M67" s="280"/>
      <c r="N67" s="184">
        <v>60000</v>
      </c>
      <c r="O67" s="184">
        <f t="shared" si="15"/>
        <v>3912000</v>
      </c>
      <c r="P67" s="182" t="s">
        <v>30</v>
      </c>
      <c r="Q67" s="182">
        <f t="shared" si="16"/>
        <v>65.2</v>
      </c>
      <c r="R67" s="182" t="s">
        <v>38</v>
      </c>
      <c r="S67" s="184">
        <v>9500</v>
      </c>
      <c r="T67" s="184">
        <f t="shared" si="17"/>
        <v>619400</v>
      </c>
      <c r="U67" s="184">
        <f t="shared" si="18"/>
        <v>652000</v>
      </c>
      <c r="V67" s="184">
        <f t="shared" si="19"/>
        <v>11736000</v>
      </c>
      <c r="W67" s="184">
        <f t="shared" si="22"/>
        <v>0</v>
      </c>
      <c r="X67" s="185">
        <f t="shared" si="24"/>
        <v>0</v>
      </c>
      <c r="Y67" s="186">
        <f t="shared" si="21"/>
        <v>16919400</v>
      </c>
      <c r="Z67" s="210">
        <f t="shared" si="23"/>
        <v>16919400</v>
      </c>
      <c r="AA67" s="200"/>
    </row>
    <row r="68" spans="1:27" s="279" customFormat="1" ht="63.75" customHeight="1">
      <c r="A68" s="200">
        <v>9</v>
      </c>
      <c r="B68" s="177" t="s">
        <v>171</v>
      </c>
      <c r="C68" s="200">
        <v>82</v>
      </c>
      <c r="D68" s="200">
        <v>124</v>
      </c>
      <c r="E68" s="200">
        <v>454.5</v>
      </c>
      <c r="F68" s="200" t="s">
        <v>0</v>
      </c>
      <c r="G68" s="176" t="s">
        <v>54</v>
      </c>
      <c r="H68" s="181">
        <f>E68</f>
        <v>454.5</v>
      </c>
      <c r="I68" s="181"/>
      <c r="J68" s="181"/>
      <c r="K68" s="180"/>
      <c r="L68" s="182">
        <f t="shared" si="14"/>
        <v>454.5</v>
      </c>
      <c r="M68" s="284"/>
      <c r="N68" s="184">
        <v>60000</v>
      </c>
      <c r="O68" s="184">
        <f t="shared" si="15"/>
        <v>27270000</v>
      </c>
      <c r="P68" s="182" t="s">
        <v>30</v>
      </c>
      <c r="Q68" s="182">
        <f t="shared" si="16"/>
        <v>454.5</v>
      </c>
      <c r="R68" s="182" t="s">
        <v>38</v>
      </c>
      <c r="S68" s="184">
        <v>9500</v>
      </c>
      <c r="T68" s="184">
        <f t="shared" si="17"/>
        <v>4317750</v>
      </c>
      <c r="U68" s="184">
        <f t="shared" si="18"/>
        <v>4545000</v>
      </c>
      <c r="V68" s="184">
        <f t="shared" si="19"/>
        <v>81810000</v>
      </c>
      <c r="W68" s="184">
        <f t="shared" si="22"/>
        <v>0</v>
      </c>
      <c r="X68" s="185">
        <f t="shared" si="24"/>
        <v>0</v>
      </c>
      <c r="Y68" s="186">
        <f t="shared" si="21"/>
        <v>117942750</v>
      </c>
      <c r="Z68" s="210">
        <f t="shared" si="23"/>
        <v>117942750</v>
      </c>
      <c r="AA68" s="200"/>
    </row>
    <row r="69" spans="1:31" s="26" customFormat="1" ht="63.75" customHeight="1">
      <c r="A69" s="200">
        <v>10</v>
      </c>
      <c r="B69" s="212" t="s">
        <v>172</v>
      </c>
      <c r="C69" s="200">
        <v>72</v>
      </c>
      <c r="D69" s="200">
        <v>7</v>
      </c>
      <c r="E69" s="200">
        <v>99.8</v>
      </c>
      <c r="F69" s="200" t="s">
        <v>45</v>
      </c>
      <c r="G69" s="180" t="s">
        <v>43</v>
      </c>
      <c r="H69" s="181"/>
      <c r="I69" s="180">
        <f>E69</f>
        <v>99.8</v>
      </c>
      <c r="J69" s="180"/>
      <c r="K69" s="180"/>
      <c r="L69" s="182">
        <f t="shared" si="14"/>
        <v>99.8</v>
      </c>
      <c r="M69" s="217">
        <f>L69+L70</f>
        <v>197.7</v>
      </c>
      <c r="N69" s="184">
        <v>60000</v>
      </c>
      <c r="O69" s="184">
        <f t="shared" si="15"/>
        <v>5988000</v>
      </c>
      <c r="P69" s="182" t="s">
        <v>30</v>
      </c>
      <c r="Q69" s="182">
        <f t="shared" si="16"/>
        <v>99.8</v>
      </c>
      <c r="R69" s="182" t="s">
        <v>38</v>
      </c>
      <c r="S69" s="184">
        <v>9500</v>
      </c>
      <c r="T69" s="184">
        <f t="shared" si="17"/>
        <v>948100</v>
      </c>
      <c r="U69" s="184">
        <f t="shared" si="18"/>
        <v>998000</v>
      </c>
      <c r="V69" s="184">
        <f t="shared" si="19"/>
        <v>17964000</v>
      </c>
      <c r="W69" s="184">
        <f t="shared" si="22"/>
        <v>1</v>
      </c>
      <c r="X69" s="185">
        <f t="shared" si="24"/>
        <v>3500000</v>
      </c>
      <c r="Y69" s="186">
        <f t="shared" si="21"/>
        <v>29398100</v>
      </c>
      <c r="Z69" s="210">
        <f t="shared" si="23"/>
        <v>29398100</v>
      </c>
      <c r="AA69" s="251"/>
      <c r="AB69" s="208"/>
      <c r="AC69" s="209"/>
      <c r="AD69" s="209"/>
      <c r="AE69" s="209"/>
    </row>
    <row r="70" spans="1:31" s="26" customFormat="1" ht="63.75" customHeight="1">
      <c r="A70" s="200">
        <v>10</v>
      </c>
      <c r="B70" s="212" t="s">
        <v>172</v>
      </c>
      <c r="C70" s="200">
        <v>72</v>
      </c>
      <c r="D70" s="200">
        <v>93</v>
      </c>
      <c r="E70" s="200">
        <v>97.9</v>
      </c>
      <c r="F70" s="200" t="s">
        <v>45</v>
      </c>
      <c r="G70" s="230" t="s">
        <v>44</v>
      </c>
      <c r="H70" s="181"/>
      <c r="I70" s="180">
        <f>E70</f>
        <v>97.9</v>
      </c>
      <c r="J70" s="180"/>
      <c r="K70" s="180"/>
      <c r="L70" s="182">
        <f t="shared" si="14"/>
        <v>97.9</v>
      </c>
      <c r="M70" s="264"/>
      <c r="N70" s="184">
        <v>60000</v>
      </c>
      <c r="O70" s="184">
        <f t="shared" si="15"/>
        <v>5874000</v>
      </c>
      <c r="P70" s="182" t="s">
        <v>30</v>
      </c>
      <c r="Q70" s="182">
        <f t="shared" si="16"/>
        <v>97.9</v>
      </c>
      <c r="R70" s="182" t="s">
        <v>38</v>
      </c>
      <c r="S70" s="184">
        <v>9500</v>
      </c>
      <c r="T70" s="184">
        <f t="shared" si="17"/>
        <v>930050</v>
      </c>
      <c r="U70" s="184">
        <f t="shared" si="18"/>
        <v>979000</v>
      </c>
      <c r="V70" s="184">
        <f t="shared" si="19"/>
        <v>17622000</v>
      </c>
      <c r="W70" s="184">
        <f t="shared" si="22"/>
        <v>0</v>
      </c>
      <c r="X70" s="185">
        <f t="shared" si="24"/>
        <v>0</v>
      </c>
      <c r="Y70" s="186">
        <f t="shared" si="21"/>
        <v>25405050</v>
      </c>
      <c r="Z70" s="210">
        <f t="shared" si="23"/>
        <v>25405050</v>
      </c>
      <c r="AA70" s="200"/>
      <c r="AB70" s="208"/>
      <c r="AC70" s="209"/>
      <c r="AD70" s="209"/>
      <c r="AE70" s="209"/>
    </row>
    <row r="71" spans="1:31" s="26" customFormat="1" ht="63.75" customHeight="1">
      <c r="A71" s="200">
        <v>11</v>
      </c>
      <c r="B71" s="212" t="s">
        <v>173</v>
      </c>
      <c r="C71" s="200">
        <v>72</v>
      </c>
      <c r="D71" s="200">
        <v>110</v>
      </c>
      <c r="E71" s="226">
        <v>96</v>
      </c>
      <c r="F71" s="200" t="s">
        <v>45</v>
      </c>
      <c r="G71" s="180" t="s">
        <v>44</v>
      </c>
      <c r="H71" s="181">
        <f>E71</f>
        <v>96</v>
      </c>
      <c r="I71" s="181"/>
      <c r="J71" s="181"/>
      <c r="K71" s="180"/>
      <c r="L71" s="182">
        <f t="shared" si="14"/>
        <v>96</v>
      </c>
      <c r="M71" s="265">
        <f>L71+L72</f>
        <v>309.6</v>
      </c>
      <c r="N71" s="184">
        <v>60000</v>
      </c>
      <c r="O71" s="184">
        <f t="shared" si="15"/>
        <v>5760000</v>
      </c>
      <c r="P71" s="182" t="s">
        <v>30</v>
      </c>
      <c r="Q71" s="182">
        <f t="shared" si="16"/>
        <v>96</v>
      </c>
      <c r="R71" s="182" t="s">
        <v>38</v>
      </c>
      <c r="S71" s="184">
        <v>9500</v>
      </c>
      <c r="T71" s="184">
        <f t="shared" si="17"/>
        <v>912000</v>
      </c>
      <c r="U71" s="184">
        <f t="shared" si="18"/>
        <v>960000</v>
      </c>
      <c r="V71" s="184">
        <f t="shared" si="19"/>
        <v>17280000</v>
      </c>
      <c r="W71" s="184">
        <f t="shared" si="22"/>
        <v>1</v>
      </c>
      <c r="X71" s="185">
        <f t="shared" si="24"/>
        <v>3500000</v>
      </c>
      <c r="Y71" s="186">
        <f t="shared" si="21"/>
        <v>28412000</v>
      </c>
      <c r="Z71" s="210">
        <f t="shared" si="23"/>
        <v>28412000</v>
      </c>
      <c r="AA71" s="200"/>
      <c r="AB71" s="208"/>
      <c r="AC71" s="209"/>
      <c r="AD71" s="209"/>
      <c r="AE71" s="209"/>
    </row>
    <row r="72" spans="1:31" s="26" customFormat="1" ht="63.75" customHeight="1">
      <c r="A72" s="200">
        <v>11</v>
      </c>
      <c r="B72" s="212" t="s">
        <v>173</v>
      </c>
      <c r="C72" s="200">
        <v>72</v>
      </c>
      <c r="D72" s="200">
        <v>227</v>
      </c>
      <c r="E72" s="200">
        <v>213.6</v>
      </c>
      <c r="F72" s="200" t="s">
        <v>45</v>
      </c>
      <c r="G72" s="230" t="s">
        <v>44</v>
      </c>
      <c r="H72" s="200">
        <v>171.5</v>
      </c>
      <c r="I72" s="200">
        <f>E72-H72</f>
        <v>42.099999999999994</v>
      </c>
      <c r="J72" s="180"/>
      <c r="K72" s="180"/>
      <c r="L72" s="182">
        <f t="shared" si="14"/>
        <v>213.6</v>
      </c>
      <c r="M72" s="266"/>
      <c r="N72" s="184">
        <v>60000</v>
      </c>
      <c r="O72" s="184">
        <f t="shared" si="15"/>
        <v>12816000</v>
      </c>
      <c r="P72" s="182" t="s">
        <v>30</v>
      </c>
      <c r="Q72" s="182">
        <f t="shared" si="16"/>
        <v>213.6</v>
      </c>
      <c r="R72" s="182" t="s">
        <v>38</v>
      </c>
      <c r="S72" s="184">
        <v>9500</v>
      </c>
      <c r="T72" s="184">
        <f t="shared" si="17"/>
        <v>2029200</v>
      </c>
      <c r="U72" s="184">
        <f t="shared" si="18"/>
        <v>2136000</v>
      </c>
      <c r="V72" s="184">
        <f t="shared" si="19"/>
        <v>38448000</v>
      </c>
      <c r="W72" s="184">
        <f t="shared" si="22"/>
        <v>0</v>
      </c>
      <c r="X72" s="185">
        <f t="shared" si="24"/>
        <v>0</v>
      </c>
      <c r="Y72" s="186">
        <f t="shared" si="21"/>
        <v>55429200</v>
      </c>
      <c r="Z72" s="210">
        <f t="shared" si="23"/>
        <v>55429200</v>
      </c>
      <c r="AA72" s="200"/>
      <c r="AB72" s="208"/>
      <c r="AC72" s="209"/>
      <c r="AD72" s="209"/>
      <c r="AE72" s="209"/>
    </row>
    <row r="73" spans="1:31" s="26" customFormat="1" ht="63.75" customHeight="1">
      <c r="A73" s="200">
        <v>12</v>
      </c>
      <c r="B73" s="212" t="s">
        <v>174</v>
      </c>
      <c r="C73" s="200">
        <v>72</v>
      </c>
      <c r="D73" s="200">
        <v>184</v>
      </c>
      <c r="E73" s="200">
        <v>122.8</v>
      </c>
      <c r="F73" s="200" t="s">
        <v>45</v>
      </c>
      <c r="G73" s="230" t="s">
        <v>44</v>
      </c>
      <c r="H73" s="181">
        <f>E73</f>
        <v>122.8</v>
      </c>
      <c r="I73" s="180"/>
      <c r="J73" s="180"/>
      <c r="K73" s="180"/>
      <c r="L73" s="182">
        <f t="shared" si="14"/>
        <v>122.8</v>
      </c>
      <c r="M73" s="255">
        <f>L73</f>
        <v>122.8</v>
      </c>
      <c r="N73" s="184">
        <v>60000</v>
      </c>
      <c r="O73" s="184">
        <f t="shared" si="15"/>
        <v>7368000</v>
      </c>
      <c r="P73" s="182" t="s">
        <v>30</v>
      </c>
      <c r="Q73" s="182">
        <f t="shared" si="16"/>
        <v>122.8</v>
      </c>
      <c r="R73" s="182" t="s">
        <v>38</v>
      </c>
      <c r="S73" s="184">
        <v>9500</v>
      </c>
      <c r="T73" s="184">
        <f t="shared" si="17"/>
        <v>1166600</v>
      </c>
      <c r="U73" s="184">
        <f t="shared" si="18"/>
        <v>1228000</v>
      </c>
      <c r="V73" s="184">
        <f t="shared" si="19"/>
        <v>22104000</v>
      </c>
      <c r="W73" s="184">
        <f t="shared" si="22"/>
        <v>0</v>
      </c>
      <c r="X73" s="185">
        <f t="shared" si="24"/>
        <v>0</v>
      </c>
      <c r="Y73" s="186">
        <f t="shared" si="21"/>
        <v>31866600</v>
      </c>
      <c r="Z73" s="210">
        <f t="shared" si="23"/>
        <v>31866600</v>
      </c>
      <c r="AA73" s="251"/>
      <c r="AB73" s="208"/>
      <c r="AC73" s="209"/>
      <c r="AD73" s="209"/>
      <c r="AE73" s="209"/>
    </row>
    <row r="74" spans="1:31" s="26" customFormat="1" ht="63.75" customHeight="1">
      <c r="A74" s="200">
        <v>13</v>
      </c>
      <c r="B74" s="212" t="s">
        <v>175</v>
      </c>
      <c r="C74" s="200">
        <v>71</v>
      </c>
      <c r="D74" s="200">
        <v>7</v>
      </c>
      <c r="E74" s="200">
        <v>76.4</v>
      </c>
      <c r="F74" s="200" t="s">
        <v>45</v>
      </c>
      <c r="G74" s="230" t="s">
        <v>43</v>
      </c>
      <c r="H74" s="181">
        <f>E74</f>
        <v>76.4</v>
      </c>
      <c r="I74" s="180"/>
      <c r="J74" s="180"/>
      <c r="K74" s="180"/>
      <c r="L74" s="182">
        <f t="shared" si="14"/>
        <v>76.4</v>
      </c>
      <c r="M74" s="853">
        <f>SUM(L74:L77)</f>
        <v>555.8</v>
      </c>
      <c r="N74" s="184">
        <v>60000</v>
      </c>
      <c r="O74" s="184">
        <f t="shared" si="15"/>
        <v>4584000</v>
      </c>
      <c r="P74" s="182" t="s">
        <v>30</v>
      </c>
      <c r="Q74" s="182">
        <f t="shared" si="16"/>
        <v>76.4</v>
      </c>
      <c r="R74" s="182" t="s">
        <v>38</v>
      </c>
      <c r="S74" s="184">
        <v>9500</v>
      </c>
      <c r="T74" s="184">
        <f t="shared" si="17"/>
        <v>725800</v>
      </c>
      <c r="U74" s="184">
        <f t="shared" si="18"/>
        <v>764000</v>
      </c>
      <c r="V74" s="184">
        <f t="shared" si="19"/>
        <v>13752000</v>
      </c>
      <c r="W74" s="184">
        <f t="shared" si="22"/>
        <v>3</v>
      </c>
      <c r="X74" s="185">
        <f t="shared" si="24"/>
        <v>10500000</v>
      </c>
      <c r="Y74" s="186">
        <f t="shared" si="21"/>
        <v>30325800</v>
      </c>
      <c r="Z74" s="210">
        <f t="shared" si="23"/>
        <v>30325800</v>
      </c>
      <c r="AA74" s="251"/>
      <c r="AB74" s="208"/>
      <c r="AC74" s="209"/>
      <c r="AD74" s="209"/>
      <c r="AE74" s="209"/>
    </row>
    <row r="75" spans="1:31" s="26" customFormat="1" ht="63.75" customHeight="1">
      <c r="A75" s="200">
        <v>13</v>
      </c>
      <c r="B75" s="212" t="s">
        <v>175</v>
      </c>
      <c r="C75" s="200">
        <v>72</v>
      </c>
      <c r="D75" s="200">
        <v>81</v>
      </c>
      <c r="E75" s="200">
        <v>113.3</v>
      </c>
      <c r="F75" s="200" t="s">
        <v>45</v>
      </c>
      <c r="G75" s="180" t="s">
        <v>44</v>
      </c>
      <c r="H75" s="181">
        <f>E75</f>
        <v>113.3</v>
      </c>
      <c r="I75" s="180"/>
      <c r="J75" s="180"/>
      <c r="K75" s="180"/>
      <c r="L75" s="182">
        <f t="shared" si="14"/>
        <v>113.3</v>
      </c>
      <c r="M75" s="864"/>
      <c r="N75" s="184">
        <v>60000</v>
      </c>
      <c r="O75" s="184">
        <f t="shared" si="15"/>
        <v>6798000</v>
      </c>
      <c r="P75" s="182" t="s">
        <v>30</v>
      </c>
      <c r="Q75" s="182">
        <f t="shared" si="16"/>
        <v>113.3</v>
      </c>
      <c r="R75" s="182" t="s">
        <v>38</v>
      </c>
      <c r="S75" s="184">
        <v>9500</v>
      </c>
      <c r="T75" s="184">
        <f t="shared" si="17"/>
        <v>1076350</v>
      </c>
      <c r="U75" s="184">
        <f t="shared" si="18"/>
        <v>1133000</v>
      </c>
      <c r="V75" s="184">
        <f t="shared" si="19"/>
        <v>20394000</v>
      </c>
      <c r="W75" s="184">
        <f t="shared" si="22"/>
        <v>0</v>
      </c>
      <c r="X75" s="185">
        <f t="shared" si="24"/>
        <v>0</v>
      </c>
      <c r="Y75" s="186">
        <f t="shared" si="21"/>
        <v>29401350</v>
      </c>
      <c r="Z75" s="210">
        <f t="shared" si="23"/>
        <v>29401350</v>
      </c>
      <c r="AA75" s="251"/>
      <c r="AB75" s="208"/>
      <c r="AC75" s="209"/>
      <c r="AD75" s="209"/>
      <c r="AE75" s="209"/>
    </row>
    <row r="76" spans="1:31" s="26" customFormat="1" ht="63.75" customHeight="1">
      <c r="A76" s="200">
        <v>13</v>
      </c>
      <c r="B76" s="212" t="s">
        <v>175</v>
      </c>
      <c r="C76" s="200">
        <v>72</v>
      </c>
      <c r="D76" s="200">
        <v>177</v>
      </c>
      <c r="E76" s="200">
        <v>201.5</v>
      </c>
      <c r="F76" s="200" t="s">
        <v>45</v>
      </c>
      <c r="G76" s="230" t="s">
        <v>44</v>
      </c>
      <c r="H76" s="181">
        <f>E76</f>
        <v>201.5</v>
      </c>
      <c r="I76" s="180"/>
      <c r="J76" s="180"/>
      <c r="K76" s="180"/>
      <c r="L76" s="182">
        <f t="shared" si="14"/>
        <v>201.5</v>
      </c>
      <c r="M76" s="864"/>
      <c r="N76" s="184">
        <v>60000</v>
      </c>
      <c r="O76" s="184">
        <f t="shared" si="15"/>
        <v>12090000</v>
      </c>
      <c r="P76" s="182" t="s">
        <v>30</v>
      </c>
      <c r="Q76" s="182">
        <f t="shared" si="16"/>
        <v>201.5</v>
      </c>
      <c r="R76" s="182" t="s">
        <v>38</v>
      </c>
      <c r="S76" s="184">
        <v>9500</v>
      </c>
      <c r="T76" s="184">
        <f t="shared" si="17"/>
        <v>1914250</v>
      </c>
      <c r="U76" s="184">
        <f t="shared" si="18"/>
        <v>2015000</v>
      </c>
      <c r="V76" s="184">
        <f t="shared" si="19"/>
        <v>36270000</v>
      </c>
      <c r="W76" s="184">
        <f t="shared" si="22"/>
        <v>0</v>
      </c>
      <c r="X76" s="185">
        <f t="shared" si="24"/>
        <v>0</v>
      </c>
      <c r="Y76" s="186">
        <f t="shared" si="21"/>
        <v>52289250</v>
      </c>
      <c r="Z76" s="210">
        <f t="shared" si="23"/>
        <v>52289250</v>
      </c>
      <c r="AA76" s="251"/>
      <c r="AB76" s="208"/>
      <c r="AC76" s="209"/>
      <c r="AD76" s="209"/>
      <c r="AE76" s="209"/>
    </row>
    <row r="77" spans="1:31" s="26" customFormat="1" ht="63.75" customHeight="1">
      <c r="A77" s="200">
        <v>13</v>
      </c>
      <c r="B77" s="212" t="s">
        <v>175</v>
      </c>
      <c r="C77" s="200">
        <v>72</v>
      </c>
      <c r="D77" s="200">
        <v>209</v>
      </c>
      <c r="E77" s="200">
        <v>171.9</v>
      </c>
      <c r="F77" s="200" t="s">
        <v>45</v>
      </c>
      <c r="G77" s="180" t="s">
        <v>44</v>
      </c>
      <c r="H77" s="181"/>
      <c r="I77" s="181">
        <v>164.6</v>
      </c>
      <c r="J77" s="180"/>
      <c r="K77" s="180"/>
      <c r="L77" s="182">
        <f t="shared" si="14"/>
        <v>164.6</v>
      </c>
      <c r="M77" s="854"/>
      <c r="N77" s="184">
        <v>60000</v>
      </c>
      <c r="O77" s="184">
        <f t="shared" si="15"/>
        <v>9876000</v>
      </c>
      <c r="P77" s="182" t="s">
        <v>30</v>
      </c>
      <c r="Q77" s="182">
        <f t="shared" si="16"/>
        <v>164.6</v>
      </c>
      <c r="R77" s="182" t="s">
        <v>38</v>
      </c>
      <c r="S77" s="184">
        <v>9500</v>
      </c>
      <c r="T77" s="184">
        <f t="shared" si="17"/>
        <v>1563700</v>
      </c>
      <c r="U77" s="184">
        <f t="shared" si="18"/>
        <v>1646000</v>
      </c>
      <c r="V77" s="184">
        <f t="shared" si="19"/>
        <v>29628000</v>
      </c>
      <c r="W77" s="184">
        <f t="shared" si="22"/>
        <v>0</v>
      </c>
      <c r="X77" s="185">
        <f t="shared" si="24"/>
        <v>0</v>
      </c>
      <c r="Y77" s="186">
        <f t="shared" si="21"/>
        <v>42713700</v>
      </c>
      <c r="Z77" s="210">
        <f t="shared" si="23"/>
        <v>42713700</v>
      </c>
      <c r="AA77" s="267" t="s">
        <v>104</v>
      </c>
      <c r="AB77" s="208"/>
      <c r="AC77" s="209"/>
      <c r="AD77" s="209"/>
      <c r="AE77" s="209"/>
    </row>
    <row r="78" spans="1:31" s="26" customFormat="1" ht="63.75" customHeight="1">
      <c r="A78" s="200">
        <v>14</v>
      </c>
      <c r="B78" s="212" t="s">
        <v>58</v>
      </c>
      <c r="C78" s="200">
        <v>81</v>
      </c>
      <c r="D78" s="200">
        <v>28</v>
      </c>
      <c r="E78" s="226">
        <v>126.5</v>
      </c>
      <c r="F78" s="200" t="s">
        <v>0</v>
      </c>
      <c r="G78" s="180" t="s">
        <v>37</v>
      </c>
      <c r="H78" s="181"/>
      <c r="I78" s="180">
        <f>E78</f>
        <v>126.5</v>
      </c>
      <c r="J78" s="180"/>
      <c r="K78" s="180"/>
      <c r="L78" s="182">
        <f t="shared" si="14"/>
        <v>126.5</v>
      </c>
      <c r="M78" s="865">
        <f>SUM(L78:L80)</f>
        <v>265.3</v>
      </c>
      <c r="N78" s="184">
        <v>60000</v>
      </c>
      <c r="O78" s="184">
        <f t="shared" si="15"/>
        <v>7590000</v>
      </c>
      <c r="P78" s="182" t="s">
        <v>30</v>
      </c>
      <c r="Q78" s="182">
        <f t="shared" si="16"/>
        <v>126.5</v>
      </c>
      <c r="R78" s="182" t="s">
        <v>38</v>
      </c>
      <c r="S78" s="184">
        <v>9500</v>
      </c>
      <c r="T78" s="184">
        <f t="shared" si="17"/>
        <v>1201750</v>
      </c>
      <c r="U78" s="184">
        <f t="shared" si="18"/>
        <v>1265000</v>
      </c>
      <c r="V78" s="184">
        <f t="shared" si="19"/>
        <v>22770000</v>
      </c>
      <c r="W78" s="184">
        <f t="shared" si="22"/>
        <v>1</v>
      </c>
      <c r="X78" s="185">
        <f t="shared" si="24"/>
        <v>3500000</v>
      </c>
      <c r="Y78" s="186">
        <f t="shared" si="21"/>
        <v>36326750</v>
      </c>
      <c r="Z78" s="210">
        <f t="shared" si="23"/>
        <v>36326750</v>
      </c>
      <c r="AA78" s="251"/>
      <c r="AB78" s="208"/>
      <c r="AC78" s="209"/>
      <c r="AD78" s="209"/>
      <c r="AE78" s="209"/>
    </row>
    <row r="79" spans="1:31" s="29" customFormat="1" ht="63.75" customHeight="1">
      <c r="A79" s="231">
        <v>14</v>
      </c>
      <c r="B79" s="268" t="s">
        <v>58</v>
      </c>
      <c r="C79" s="231">
        <v>72</v>
      </c>
      <c r="D79" s="231">
        <v>263</v>
      </c>
      <c r="E79" s="233">
        <v>307</v>
      </c>
      <c r="F79" s="231" t="s">
        <v>0</v>
      </c>
      <c r="G79" s="258" t="s">
        <v>44</v>
      </c>
      <c r="H79" s="269"/>
      <c r="I79" s="233">
        <f>98.5</f>
        <v>98.5</v>
      </c>
      <c r="J79" s="235"/>
      <c r="K79" s="235"/>
      <c r="L79" s="236">
        <f t="shared" si="14"/>
        <v>98.5</v>
      </c>
      <c r="M79" s="865"/>
      <c r="N79" s="238">
        <v>60000</v>
      </c>
      <c r="O79" s="238">
        <f t="shared" si="15"/>
        <v>5910000</v>
      </c>
      <c r="P79" s="236" t="s">
        <v>30</v>
      </c>
      <c r="Q79" s="236">
        <f t="shared" si="16"/>
        <v>98.5</v>
      </c>
      <c r="R79" s="236" t="s">
        <v>38</v>
      </c>
      <c r="S79" s="238">
        <v>9500</v>
      </c>
      <c r="T79" s="238">
        <f t="shared" si="17"/>
        <v>935750</v>
      </c>
      <c r="U79" s="238">
        <f t="shared" si="18"/>
        <v>985000</v>
      </c>
      <c r="V79" s="238">
        <f t="shared" si="19"/>
        <v>17730000</v>
      </c>
      <c r="W79" s="238">
        <f t="shared" si="22"/>
        <v>0</v>
      </c>
      <c r="X79" s="239">
        <f t="shared" si="24"/>
        <v>0</v>
      </c>
      <c r="Y79" s="240">
        <f t="shared" si="21"/>
        <v>25560750</v>
      </c>
      <c r="Z79" s="241">
        <f t="shared" si="23"/>
        <v>25560750</v>
      </c>
      <c r="AA79" s="231" t="s">
        <v>71</v>
      </c>
      <c r="AB79" s="243"/>
      <c r="AC79" s="244"/>
      <c r="AD79" s="244"/>
      <c r="AE79" s="244"/>
    </row>
    <row r="80" spans="1:31" s="26" customFormat="1" ht="63.75" customHeight="1">
      <c r="A80" s="200">
        <v>14</v>
      </c>
      <c r="B80" s="212" t="s">
        <v>58</v>
      </c>
      <c r="C80" s="200">
        <v>72</v>
      </c>
      <c r="D80" s="200">
        <v>106</v>
      </c>
      <c r="E80" s="200">
        <v>40.3</v>
      </c>
      <c r="F80" s="200" t="s">
        <v>45</v>
      </c>
      <c r="G80" s="180" t="s">
        <v>44</v>
      </c>
      <c r="H80" s="181"/>
      <c r="I80" s="180">
        <f>E80</f>
        <v>40.3</v>
      </c>
      <c r="J80" s="180"/>
      <c r="K80" s="180"/>
      <c r="L80" s="182">
        <f t="shared" si="14"/>
        <v>40.3</v>
      </c>
      <c r="M80" s="865"/>
      <c r="N80" s="184">
        <v>60000</v>
      </c>
      <c r="O80" s="184">
        <f t="shared" si="15"/>
        <v>2418000</v>
      </c>
      <c r="P80" s="182" t="s">
        <v>30</v>
      </c>
      <c r="Q80" s="182">
        <f t="shared" si="16"/>
        <v>40.3</v>
      </c>
      <c r="R80" s="182" t="s">
        <v>38</v>
      </c>
      <c r="S80" s="184">
        <v>9500</v>
      </c>
      <c r="T80" s="184">
        <f t="shared" si="17"/>
        <v>382850</v>
      </c>
      <c r="U80" s="184">
        <f t="shared" si="18"/>
        <v>403000</v>
      </c>
      <c r="V80" s="184">
        <f t="shared" si="19"/>
        <v>7254000</v>
      </c>
      <c r="W80" s="184">
        <f t="shared" si="22"/>
        <v>0</v>
      </c>
      <c r="X80" s="185">
        <f t="shared" si="24"/>
        <v>0</v>
      </c>
      <c r="Y80" s="186">
        <f t="shared" si="21"/>
        <v>10457850</v>
      </c>
      <c r="Z80" s="210">
        <f t="shared" si="23"/>
        <v>10457850</v>
      </c>
      <c r="AA80" s="251"/>
      <c r="AB80" s="208"/>
      <c r="AC80" s="209"/>
      <c r="AD80" s="209"/>
      <c r="AE80" s="209"/>
    </row>
    <row r="81" spans="1:31" s="26" customFormat="1" ht="63.75" customHeight="1">
      <c r="A81" s="200">
        <v>15</v>
      </c>
      <c r="B81" s="213" t="s">
        <v>60</v>
      </c>
      <c r="C81" s="178">
        <v>72</v>
      </c>
      <c r="D81" s="178">
        <v>219</v>
      </c>
      <c r="E81" s="179">
        <v>214.5</v>
      </c>
      <c r="F81" s="203" t="s">
        <v>45</v>
      </c>
      <c r="G81" s="180" t="s">
        <v>44</v>
      </c>
      <c r="H81" s="181">
        <f>E81</f>
        <v>214.5</v>
      </c>
      <c r="I81" s="180"/>
      <c r="J81" s="180"/>
      <c r="K81" s="180"/>
      <c r="L81" s="182">
        <f t="shared" si="14"/>
        <v>214.5</v>
      </c>
      <c r="M81" s="219">
        <f>L81+L82+L83+L84+L85</f>
        <v>844.5</v>
      </c>
      <c r="N81" s="184">
        <v>60000</v>
      </c>
      <c r="O81" s="184">
        <f t="shared" si="15"/>
        <v>12870000</v>
      </c>
      <c r="P81" s="182" t="s">
        <v>30</v>
      </c>
      <c r="Q81" s="182">
        <f t="shared" si="16"/>
        <v>214.5</v>
      </c>
      <c r="R81" s="182" t="s">
        <v>38</v>
      </c>
      <c r="S81" s="184">
        <v>9500</v>
      </c>
      <c r="T81" s="184">
        <f t="shared" si="17"/>
        <v>2037750</v>
      </c>
      <c r="U81" s="184">
        <f t="shared" si="18"/>
        <v>2145000</v>
      </c>
      <c r="V81" s="184">
        <f t="shared" si="19"/>
        <v>38610000</v>
      </c>
      <c r="W81" s="184">
        <f t="shared" si="22"/>
        <v>4</v>
      </c>
      <c r="X81" s="185">
        <f t="shared" si="24"/>
        <v>14000000</v>
      </c>
      <c r="Y81" s="184">
        <f t="shared" si="21"/>
        <v>69662750</v>
      </c>
      <c r="Z81" s="210">
        <f t="shared" si="23"/>
        <v>69662750</v>
      </c>
      <c r="AA81" s="251"/>
      <c r="AB81" s="208"/>
      <c r="AC81" s="209"/>
      <c r="AD81" s="209"/>
      <c r="AE81" s="209"/>
    </row>
    <row r="82" spans="1:31" s="26" customFormat="1" ht="63.75" customHeight="1">
      <c r="A82" s="200">
        <v>15</v>
      </c>
      <c r="B82" s="224" t="s">
        <v>60</v>
      </c>
      <c r="C82" s="225">
        <v>72</v>
      </c>
      <c r="D82" s="225">
        <v>178</v>
      </c>
      <c r="E82" s="226">
        <v>193</v>
      </c>
      <c r="F82" s="227" t="s">
        <v>45</v>
      </c>
      <c r="G82" s="230" t="s">
        <v>44</v>
      </c>
      <c r="H82" s="181">
        <f>E82</f>
        <v>193</v>
      </c>
      <c r="I82" s="180"/>
      <c r="J82" s="180"/>
      <c r="K82" s="180"/>
      <c r="L82" s="182">
        <f t="shared" si="14"/>
        <v>193</v>
      </c>
      <c r="M82" s="252"/>
      <c r="N82" s="184">
        <v>60000</v>
      </c>
      <c r="O82" s="184">
        <f t="shared" si="15"/>
        <v>11580000</v>
      </c>
      <c r="P82" s="182" t="s">
        <v>30</v>
      </c>
      <c r="Q82" s="182">
        <f t="shared" si="16"/>
        <v>193</v>
      </c>
      <c r="R82" s="182" t="s">
        <v>38</v>
      </c>
      <c r="S82" s="184">
        <v>9500</v>
      </c>
      <c r="T82" s="184">
        <f t="shared" si="17"/>
        <v>1833500</v>
      </c>
      <c r="U82" s="184">
        <f t="shared" si="18"/>
        <v>1930000</v>
      </c>
      <c r="V82" s="184">
        <f t="shared" si="19"/>
        <v>34740000</v>
      </c>
      <c r="W82" s="184">
        <f t="shared" si="22"/>
        <v>0</v>
      </c>
      <c r="X82" s="185">
        <f t="shared" si="24"/>
        <v>0</v>
      </c>
      <c r="Y82" s="184">
        <f t="shared" si="21"/>
        <v>50083500</v>
      </c>
      <c r="Z82" s="210">
        <f t="shared" si="23"/>
        <v>50083500</v>
      </c>
      <c r="AA82" s="251"/>
      <c r="AB82" s="208"/>
      <c r="AC82" s="209"/>
      <c r="AD82" s="209"/>
      <c r="AE82" s="209"/>
    </row>
    <row r="83" spans="1:31" s="26" customFormat="1" ht="63.75" customHeight="1">
      <c r="A83" s="200">
        <v>15</v>
      </c>
      <c r="B83" s="224" t="s">
        <v>60</v>
      </c>
      <c r="C83" s="225">
        <v>71</v>
      </c>
      <c r="D83" s="225">
        <v>112</v>
      </c>
      <c r="E83" s="226">
        <v>357.6</v>
      </c>
      <c r="F83" s="227" t="s">
        <v>0</v>
      </c>
      <c r="G83" s="180" t="s">
        <v>32</v>
      </c>
      <c r="H83" s="181">
        <f>E83</f>
        <v>357.6</v>
      </c>
      <c r="I83" s="180"/>
      <c r="J83" s="180"/>
      <c r="K83" s="180"/>
      <c r="L83" s="182">
        <f t="shared" si="14"/>
        <v>357.6</v>
      </c>
      <c r="M83" s="252"/>
      <c r="N83" s="184">
        <v>60000</v>
      </c>
      <c r="O83" s="184">
        <f t="shared" si="15"/>
        <v>21456000</v>
      </c>
      <c r="P83" s="182" t="s">
        <v>30</v>
      </c>
      <c r="Q83" s="182">
        <f t="shared" si="16"/>
        <v>357.6</v>
      </c>
      <c r="R83" s="182" t="s">
        <v>38</v>
      </c>
      <c r="S83" s="184">
        <v>9500</v>
      </c>
      <c r="T83" s="184">
        <f t="shared" si="17"/>
        <v>3397200</v>
      </c>
      <c r="U83" s="184">
        <f t="shared" si="18"/>
        <v>3576000</v>
      </c>
      <c r="V83" s="184">
        <f t="shared" si="19"/>
        <v>64368000</v>
      </c>
      <c r="W83" s="184">
        <f t="shared" si="22"/>
        <v>0</v>
      </c>
      <c r="X83" s="185">
        <f t="shared" si="24"/>
        <v>0</v>
      </c>
      <c r="Y83" s="184">
        <f t="shared" si="21"/>
        <v>92797200</v>
      </c>
      <c r="Z83" s="210">
        <f t="shared" si="23"/>
        <v>92797200</v>
      </c>
      <c r="AA83" s="251"/>
      <c r="AB83" s="208"/>
      <c r="AC83" s="209"/>
      <c r="AD83" s="209"/>
      <c r="AE83" s="209"/>
    </row>
    <row r="84" spans="1:31" s="26" customFormat="1" ht="63.75" customHeight="1">
      <c r="A84" s="200">
        <v>15</v>
      </c>
      <c r="B84" s="224" t="s">
        <v>60</v>
      </c>
      <c r="C84" s="225">
        <v>72</v>
      </c>
      <c r="D84" s="225">
        <v>84</v>
      </c>
      <c r="E84" s="226">
        <v>44.1</v>
      </c>
      <c r="F84" s="227" t="s">
        <v>45</v>
      </c>
      <c r="G84" s="230" t="s">
        <v>44</v>
      </c>
      <c r="H84" s="181"/>
      <c r="I84" s="180">
        <f>E84</f>
        <v>44.1</v>
      </c>
      <c r="J84" s="180"/>
      <c r="K84" s="180"/>
      <c r="L84" s="182">
        <f t="shared" si="14"/>
        <v>44.1</v>
      </c>
      <c r="M84" s="252"/>
      <c r="N84" s="184">
        <v>60000</v>
      </c>
      <c r="O84" s="184">
        <f t="shared" si="15"/>
        <v>2646000</v>
      </c>
      <c r="P84" s="182" t="s">
        <v>30</v>
      </c>
      <c r="Q84" s="182">
        <f t="shared" si="16"/>
        <v>44.1</v>
      </c>
      <c r="R84" s="182" t="s">
        <v>38</v>
      </c>
      <c r="S84" s="184">
        <v>9500</v>
      </c>
      <c r="T84" s="184">
        <f t="shared" si="17"/>
        <v>418950</v>
      </c>
      <c r="U84" s="184">
        <f t="shared" si="18"/>
        <v>441000</v>
      </c>
      <c r="V84" s="184">
        <f t="shared" si="19"/>
        <v>7938000</v>
      </c>
      <c r="W84" s="184">
        <f t="shared" si="22"/>
        <v>0</v>
      </c>
      <c r="X84" s="185">
        <f t="shared" si="24"/>
        <v>0</v>
      </c>
      <c r="Y84" s="184">
        <f t="shared" si="21"/>
        <v>11443950</v>
      </c>
      <c r="Z84" s="210">
        <f t="shared" si="23"/>
        <v>11443950</v>
      </c>
      <c r="AA84" s="251"/>
      <c r="AB84" s="208"/>
      <c r="AC84" s="209"/>
      <c r="AD84" s="209"/>
      <c r="AE84" s="209"/>
    </row>
    <row r="85" spans="1:31" s="26" customFormat="1" ht="63.75" customHeight="1">
      <c r="A85" s="200">
        <v>15</v>
      </c>
      <c r="B85" s="224" t="s">
        <v>60</v>
      </c>
      <c r="C85" s="225">
        <v>71</v>
      </c>
      <c r="D85" s="225">
        <v>28</v>
      </c>
      <c r="E85" s="226">
        <v>35.3</v>
      </c>
      <c r="F85" s="227" t="s">
        <v>0</v>
      </c>
      <c r="G85" s="180" t="s">
        <v>44</v>
      </c>
      <c r="H85" s="181"/>
      <c r="I85" s="180">
        <f>E85</f>
        <v>35.3</v>
      </c>
      <c r="J85" s="180"/>
      <c r="K85" s="180"/>
      <c r="L85" s="182">
        <f>H85+I85+J85+K85</f>
        <v>35.3</v>
      </c>
      <c r="M85" s="252"/>
      <c r="N85" s="184">
        <v>60000</v>
      </c>
      <c r="O85" s="184">
        <f t="shared" si="15"/>
        <v>2118000</v>
      </c>
      <c r="P85" s="182" t="s">
        <v>30</v>
      </c>
      <c r="Q85" s="182">
        <f t="shared" si="16"/>
        <v>35.3</v>
      </c>
      <c r="R85" s="182" t="s">
        <v>38</v>
      </c>
      <c r="S85" s="184">
        <v>9500</v>
      </c>
      <c r="T85" s="184">
        <f t="shared" si="17"/>
        <v>335350</v>
      </c>
      <c r="U85" s="184">
        <f t="shared" si="18"/>
        <v>353000</v>
      </c>
      <c r="V85" s="184">
        <f t="shared" si="19"/>
        <v>6354000</v>
      </c>
      <c r="W85" s="184">
        <f t="shared" si="22"/>
        <v>0</v>
      </c>
      <c r="X85" s="185">
        <f t="shared" si="24"/>
        <v>0</v>
      </c>
      <c r="Y85" s="184">
        <f t="shared" si="21"/>
        <v>9160350</v>
      </c>
      <c r="Z85" s="210">
        <f t="shared" si="23"/>
        <v>9160350</v>
      </c>
      <c r="AA85" s="251"/>
      <c r="AB85" s="208"/>
      <c r="AC85" s="209"/>
      <c r="AD85" s="209"/>
      <c r="AE85" s="209"/>
    </row>
    <row r="86" spans="1:31" s="128" customFormat="1" ht="63.75" customHeight="1">
      <c r="A86" s="59" t="s">
        <v>133</v>
      </c>
      <c r="B86" s="93" t="s">
        <v>59</v>
      </c>
      <c r="C86" s="30"/>
      <c r="D86" s="30"/>
      <c r="E86" s="64"/>
      <c r="F86" s="30"/>
      <c r="G86" s="33"/>
      <c r="H86" s="33">
        <f aca="true" t="shared" si="25" ref="H86:M86">SUM(H87:H93)</f>
        <v>0</v>
      </c>
      <c r="I86" s="33">
        <f t="shared" si="25"/>
        <v>1457.1</v>
      </c>
      <c r="J86" s="33">
        <f t="shared" si="25"/>
        <v>0</v>
      </c>
      <c r="K86" s="33">
        <f t="shared" si="25"/>
        <v>1</v>
      </c>
      <c r="L86" s="33">
        <f t="shared" si="25"/>
        <v>1458.1</v>
      </c>
      <c r="M86" s="33">
        <f t="shared" si="25"/>
        <v>1458.1</v>
      </c>
      <c r="N86" s="33"/>
      <c r="O86" s="105">
        <f>SUM(O87:O93)</f>
        <v>87486000</v>
      </c>
      <c r="P86" s="33"/>
      <c r="Q86" s="33">
        <f>SUM(Q87:Q93)</f>
        <v>1458.1</v>
      </c>
      <c r="R86" s="33">
        <f>SUM(R87:R93)</f>
        <v>0</v>
      </c>
      <c r="S86" s="33"/>
      <c r="T86" s="105">
        <f>SUM(T87:T93)</f>
        <v>13851950</v>
      </c>
      <c r="U86" s="33"/>
      <c r="V86" s="105">
        <f>SUM(V87:V93)</f>
        <v>262458000</v>
      </c>
      <c r="W86" s="105">
        <f>SUM(W87:W93)</f>
        <v>4</v>
      </c>
      <c r="X86" s="105">
        <f>SUM(X87:X93)</f>
        <v>14000000</v>
      </c>
      <c r="Y86" s="105">
        <f>SUM(Y87:Y93)</f>
        <v>392376950</v>
      </c>
      <c r="Z86" s="105">
        <f>SUM(Z87:Z93)</f>
        <v>392376950</v>
      </c>
      <c r="AA86" s="30"/>
      <c r="AB86" s="126"/>
      <c r="AC86" s="127"/>
      <c r="AD86" s="127"/>
      <c r="AE86" s="127"/>
    </row>
    <row r="87" spans="1:31" s="26" customFormat="1" ht="63.75" customHeight="1">
      <c r="A87" s="271">
        <v>1</v>
      </c>
      <c r="B87" s="272" t="s">
        <v>176</v>
      </c>
      <c r="C87" s="271">
        <v>72</v>
      </c>
      <c r="D87" s="271">
        <v>179</v>
      </c>
      <c r="E87" s="271">
        <v>240.9</v>
      </c>
      <c r="F87" s="271" t="s">
        <v>45</v>
      </c>
      <c r="G87" s="180" t="s">
        <v>44</v>
      </c>
      <c r="H87" s="181"/>
      <c r="I87" s="180">
        <f aca="true" t="shared" si="26" ref="I87:I93">E87</f>
        <v>240.9</v>
      </c>
      <c r="J87" s="180"/>
      <c r="K87" s="180"/>
      <c r="L87" s="227">
        <f aca="true" t="shared" si="27" ref="L87:L93">H87+I87+J87+K87</f>
        <v>240.9</v>
      </c>
      <c r="M87" s="200">
        <f aca="true" t="shared" si="28" ref="M87:M93">L87</f>
        <v>240.9</v>
      </c>
      <c r="N87" s="184">
        <v>60000</v>
      </c>
      <c r="O87" s="184">
        <f aca="true" t="shared" si="29" ref="O87:O93">L87*N87</f>
        <v>14454000</v>
      </c>
      <c r="P87" s="182" t="s">
        <v>30</v>
      </c>
      <c r="Q87" s="182">
        <f aca="true" t="shared" si="30" ref="Q87:Q93">L87</f>
        <v>240.9</v>
      </c>
      <c r="R87" s="182" t="s">
        <v>38</v>
      </c>
      <c r="S87" s="184">
        <v>9500</v>
      </c>
      <c r="T87" s="184">
        <f aca="true" t="shared" si="31" ref="T87:T93">Q87*S87</f>
        <v>2288550</v>
      </c>
      <c r="U87" s="184">
        <f aca="true" t="shared" si="32" ref="U87:U93">L87*10000</f>
        <v>2409000</v>
      </c>
      <c r="V87" s="184">
        <f aca="true" t="shared" si="33" ref="V87:V93">L87*N87*3</f>
        <v>43362000</v>
      </c>
      <c r="W87" s="184">
        <f aca="true" t="shared" si="34" ref="W87:W93">INT(M87/176.4)</f>
        <v>1</v>
      </c>
      <c r="X87" s="185">
        <f>W87*3500000</f>
        <v>3500000</v>
      </c>
      <c r="Y87" s="186">
        <f aca="true" t="shared" si="35" ref="Y87:Y93">O87+T87+U87+V87+X87</f>
        <v>66013550</v>
      </c>
      <c r="Z87" s="210">
        <f aca="true" t="shared" si="36" ref="Z87:Z93">Y87</f>
        <v>66013550</v>
      </c>
      <c r="AA87" s="251"/>
      <c r="AB87" s="208"/>
      <c r="AC87" s="209"/>
      <c r="AD87" s="209"/>
      <c r="AE87" s="209"/>
    </row>
    <row r="88" spans="1:31" s="26" customFormat="1" ht="63.75" customHeight="1">
      <c r="A88" s="200">
        <v>2</v>
      </c>
      <c r="B88" s="272" t="s">
        <v>177</v>
      </c>
      <c r="C88" s="271">
        <v>81</v>
      </c>
      <c r="D88" s="271">
        <v>57</v>
      </c>
      <c r="E88" s="271">
        <v>132.6</v>
      </c>
      <c r="F88" s="271" t="s">
        <v>45</v>
      </c>
      <c r="G88" s="203" t="s">
        <v>37</v>
      </c>
      <c r="H88" s="181"/>
      <c r="I88" s="180">
        <f t="shared" si="26"/>
        <v>132.6</v>
      </c>
      <c r="J88" s="180"/>
      <c r="K88" s="180"/>
      <c r="L88" s="227">
        <f t="shared" si="27"/>
        <v>132.6</v>
      </c>
      <c r="M88" s="200">
        <f t="shared" si="28"/>
        <v>132.6</v>
      </c>
      <c r="N88" s="184">
        <v>60000</v>
      </c>
      <c r="O88" s="184">
        <f t="shared" si="29"/>
        <v>7956000</v>
      </c>
      <c r="P88" s="182" t="s">
        <v>30</v>
      </c>
      <c r="Q88" s="182">
        <f t="shared" si="30"/>
        <v>132.6</v>
      </c>
      <c r="R88" s="182" t="s">
        <v>38</v>
      </c>
      <c r="S88" s="184">
        <v>9500</v>
      </c>
      <c r="T88" s="184">
        <f t="shared" si="31"/>
        <v>1259700</v>
      </c>
      <c r="U88" s="184">
        <f t="shared" si="32"/>
        <v>1326000</v>
      </c>
      <c r="V88" s="184">
        <f t="shared" si="33"/>
        <v>23868000</v>
      </c>
      <c r="W88" s="184">
        <f t="shared" si="34"/>
        <v>0</v>
      </c>
      <c r="X88" s="185">
        <f aca="true" t="shared" si="37" ref="X88:X97">W88*3500000</f>
        <v>0</v>
      </c>
      <c r="Y88" s="186">
        <f t="shared" si="35"/>
        <v>34409700</v>
      </c>
      <c r="Z88" s="210">
        <f t="shared" si="36"/>
        <v>34409700</v>
      </c>
      <c r="AA88" s="251"/>
      <c r="AB88" s="208"/>
      <c r="AC88" s="209"/>
      <c r="AD88" s="209"/>
      <c r="AE88" s="209"/>
    </row>
    <row r="89" spans="1:31" s="26" customFormat="1" ht="63.75" customHeight="1">
      <c r="A89" s="271">
        <v>3</v>
      </c>
      <c r="B89" s="272" t="s">
        <v>178</v>
      </c>
      <c r="C89" s="271">
        <v>81</v>
      </c>
      <c r="D89" s="271">
        <v>92</v>
      </c>
      <c r="E89" s="271">
        <v>266.4</v>
      </c>
      <c r="F89" s="271" t="s">
        <v>0</v>
      </c>
      <c r="G89" s="203" t="s">
        <v>37</v>
      </c>
      <c r="H89" s="181"/>
      <c r="I89" s="180">
        <f t="shared" si="26"/>
        <v>266.4</v>
      </c>
      <c r="J89" s="180"/>
      <c r="K89" s="180"/>
      <c r="L89" s="227">
        <f t="shared" si="27"/>
        <v>266.4</v>
      </c>
      <c r="M89" s="200">
        <f t="shared" si="28"/>
        <v>266.4</v>
      </c>
      <c r="N89" s="184">
        <v>60000</v>
      </c>
      <c r="O89" s="184">
        <f t="shared" si="29"/>
        <v>15983999.999999998</v>
      </c>
      <c r="P89" s="182" t="s">
        <v>30</v>
      </c>
      <c r="Q89" s="182">
        <f t="shared" si="30"/>
        <v>266.4</v>
      </c>
      <c r="R89" s="182" t="s">
        <v>38</v>
      </c>
      <c r="S89" s="184">
        <v>9500</v>
      </c>
      <c r="T89" s="184">
        <f t="shared" si="31"/>
        <v>2530800</v>
      </c>
      <c r="U89" s="184">
        <f t="shared" si="32"/>
        <v>2664000</v>
      </c>
      <c r="V89" s="184">
        <f t="shared" si="33"/>
        <v>47951999.99999999</v>
      </c>
      <c r="W89" s="184">
        <f t="shared" si="34"/>
        <v>1</v>
      </c>
      <c r="X89" s="185">
        <f t="shared" si="37"/>
        <v>3500000</v>
      </c>
      <c r="Y89" s="186">
        <f t="shared" si="35"/>
        <v>72630800</v>
      </c>
      <c r="Z89" s="210">
        <f t="shared" si="36"/>
        <v>72630800</v>
      </c>
      <c r="AA89" s="251"/>
      <c r="AB89" s="208"/>
      <c r="AC89" s="209"/>
      <c r="AD89" s="209"/>
      <c r="AE89" s="209"/>
    </row>
    <row r="90" spans="1:31" s="29" customFormat="1" ht="63.75" customHeight="1">
      <c r="A90" s="231">
        <v>4</v>
      </c>
      <c r="B90" s="273" t="s">
        <v>179</v>
      </c>
      <c r="C90" s="274">
        <v>81</v>
      </c>
      <c r="D90" s="274">
        <v>90</v>
      </c>
      <c r="E90" s="274">
        <v>462.6</v>
      </c>
      <c r="F90" s="274" t="s">
        <v>0</v>
      </c>
      <c r="G90" s="275" t="s">
        <v>37</v>
      </c>
      <c r="H90" s="269"/>
      <c r="I90" s="235">
        <f>E90-K90</f>
        <v>461.6</v>
      </c>
      <c r="J90" s="235"/>
      <c r="K90" s="235">
        <v>1</v>
      </c>
      <c r="L90" s="234">
        <f t="shared" si="27"/>
        <v>462.6</v>
      </c>
      <c r="M90" s="231">
        <f t="shared" si="28"/>
        <v>462.6</v>
      </c>
      <c r="N90" s="238">
        <v>60000</v>
      </c>
      <c r="O90" s="238">
        <f t="shared" si="29"/>
        <v>27756000</v>
      </c>
      <c r="P90" s="236" t="s">
        <v>30</v>
      </c>
      <c r="Q90" s="236">
        <f t="shared" si="30"/>
        <v>462.6</v>
      </c>
      <c r="R90" s="236" t="s">
        <v>38</v>
      </c>
      <c r="S90" s="238">
        <v>9500</v>
      </c>
      <c r="T90" s="238">
        <f t="shared" si="31"/>
        <v>4394700</v>
      </c>
      <c r="U90" s="238">
        <f t="shared" si="32"/>
        <v>4626000</v>
      </c>
      <c r="V90" s="238">
        <f t="shared" si="33"/>
        <v>83268000</v>
      </c>
      <c r="W90" s="238">
        <f t="shared" si="34"/>
        <v>2</v>
      </c>
      <c r="X90" s="239">
        <f t="shared" si="37"/>
        <v>7000000</v>
      </c>
      <c r="Y90" s="240">
        <f t="shared" si="35"/>
        <v>127044700</v>
      </c>
      <c r="Z90" s="241">
        <f t="shared" si="36"/>
        <v>127044700</v>
      </c>
      <c r="AA90" s="270"/>
      <c r="AB90" s="243"/>
      <c r="AC90" s="244"/>
      <c r="AD90" s="244"/>
      <c r="AE90" s="244"/>
    </row>
    <row r="91" spans="1:31" s="26" customFormat="1" ht="63.75" customHeight="1">
      <c r="A91" s="271">
        <v>5</v>
      </c>
      <c r="B91" s="276" t="s">
        <v>180</v>
      </c>
      <c r="C91" s="271">
        <v>81</v>
      </c>
      <c r="D91" s="271">
        <v>32</v>
      </c>
      <c r="E91" s="271">
        <v>91.6</v>
      </c>
      <c r="F91" s="271" t="s">
        <v>0</v>
      </c>
      <c r="G91" s="203" t="s">
        <v>37</v>
      </c>
      <c r="H91" s="181"/>
      <c r="I91" s="180">
        <f t="shared" si="26"/>
        <v>91.6</v>
      </c>
      <c r="J91" s="180"/>
      <c r="K91" s="180"/>
      <c r="L91" s="227">
        <f t="shared" si="27"/>
        <v>91.6</v>
      </c>
      <c r="M91" s="200">
        <f t="shared" si="28"/>
        <v>91.6</v>
      </c>
      <c r="N91" s="184">
        <v>60000</v>
      </c>
      <c r="O91" s="184">
        <f>L91*N91</f>
        <v>5496000</v>
      </c>
      <c r="P91" s="182" t="s">
        <v>30</v>
      </c>
      <c r="Q91" s="182">
        <f>L91</f>
        <v>91.6</v>
      </c>
      <c r="R91" s="182" t="s">
        <v>38</v>
      </c>
      <c r="S91" s="184">
        <v>9500</v>
      </c>
      <c r="T91" s="184">
        <f>Q91*S91</f>
        <v>870200</v>
      </c>
      <c r="U91" s="184">
        <f>L91*10000</f>
        <v>916000</v>
      </c>
      <c r="V91" s="184">
        <f>L91*N91*3</f>
        <v>16488000</v>
      </c>
      <c r="W91" s="184">
        <f t="shared" si="34"/>
        <v>0</v>
      </c>
      <c r="X91" s="185">
        <f>W91*3500000</f>
        <v>0</v>
      </c>
      <c r="Y91" s="186">
        <f t="shared" si="35"/>
        <v>23770200</v>
      </c>
      <c r="Z91" s="210">
        <f t="shared" si="36"/>
        <v>23770200</v>
      </c>
      <c r="AA91" s="251"/>
      <c r="AB91" s="208"/>
      <c r="AC91" s="209"/>
      <c r="AD91" s="209"/>
      <c r="AE91" s="209"/>
    </row>
    <row r="92" spans="1:31" s="26" customFormat="1" ht="63.75" customHeight="1">
      <c r="A92" s="271">
        <v>5</v>
      </c>
      <c r="B92" s="276" t="s">
        <v>180</v>
      </c>
      <c r="C92" s="271">
        <v>81</v>
      </c>
      <c r="D92" s="271">
        <v>35</v>
      </c>
      <c r="E92" s="271">
        <f>93.7</f>
        <v>93.7</v>
      </c>
      <c r="F92" s="271" t="s">
        <v>0</v>
      </c>
      <c r="G92" s="203" t="s">
        <v>37</v>
      </c>
      <c r="H92" s="181"/>
      <c r="I92" s="180">
        <f t="shared" si="26"/>
        <v>93.7</v>
      </c>
      <c r="J92" s="180"/>
      <c r="K92" s="180"/>
      <c r="L92" s="227">
        <f t="shared" si="27"/>
        <v>93.7</v>
      </c>
      <c r="M92" s="200">
        <f t="shared" si="28"/>
        <v>93.7</v>
      </c>
      <c r="N92" s="184">
        <v>60000</v>
      </c>
      <c r="O92" s="184">
        <f>L92*N92</f>
        <v>5622000</v>
      </c>
      <c r="P92" s="182" t="s">
        <v>30</v>
      </c>
      <c r="Q92" s="182">
        <f>L92</f>
        <v>93.7</v>
      </c>
      <c r="R92" s="182" t="s">
        <v>38</v>
      </c>
      <c r="S92" s="184">
        <v>9500</v>
      </c>
      <c r="T92" s="184">
        <f>Q92*S92</f>
        <v>890150</v>
      </c>
      <c r="U92" s="184">
        <f>L92*10000</f>
        <v>937000</v>
      </c>
      <c r="V92" s="184">
        <f>L92*N92*3</f>
        <v>16866000</v>
      </c>
      <c r="W92" s="184">
        <f t="shared" si="34"/>
        <v>0</v>
      </c>
      <c r="X92" s="185">
        <f>W92*3500000</f>
        <v>0</v>
      </c>
      <c r="Y92" s="186">
        <f t="shared" si="35"/>
        <v>24315150</v>
      </c>
      <c r="Z92" s="210">
        <f t="shared" si="36"/>
        <v>24315150</v>
      </c>
      <c r="AA92" s="251"/>
      <c r="AB92" s="208"/>
      <c r="AC92" s="209"/>
      <c r="AD92" s="209"/>
      <c r="AE92" s="209"/>
    </row>
    <row r="93" spans="1:31" s="26" customFormat="1" ht="63.75" customHeight="1">
      <c r="A93" s="271">
        <v>6</v>
      </c>
      <c r="B93" s="272" t="s">
        <v>181</v>
      </c>
      <c r="C93" s="271">
        <v>81</v>
      </c>
      <c r="D93" s="271">
        <v>56</v>
      </c>
      <c r="E93" s="271">
        <v>170.3</v>
      </c>
      <c r="F93" s="271" t="s">
        <v>45</v>
      </c>
      <c r="G93" s="203" t="s">
        <v>37</v>
      </c>
      <c r="H93" s="181"/>
      <c r="I93" s="180">
        <f t="shared" si="26"/>
        <v>170.3</v>
      </c>
      <c r="J93" s="180"/>
      <c r="K93" s="180"/>
      <c r="L93" s="227">
        <f t="shared" si="27"/>
        <v>170.3</v>
      </c>
      <c r="M93" s="200">
        <f t="shared" si="28"/>
        <v>170.3</v>
      </c>
      <c r="N93" s="184">
        <v>60000</v>
      </c>
      <c r="O93" s="184">
        <f t="shared" si="29"/>
        <v>10218000</v>
      </c>
      <c r="P93" s="182" t="s">
        <v>30</v>
      </c>
      <c r="Q93" s="182">
        <f t="shared" si="30"/>
        <v>170.3</v>
      </c>
      <c r="R93" s="182" t="s">
        <v>38</v>
      </c>
      <c r="S93" s="184">
        <v>9500</v>
      </c>
      <c r="T93" s="184">
        <f t="shared" si="31"/>
        <v>1617850</v>
      </c>
      <c r="U93" s="184">
        <f t="shared" si="32"/>
        <v>1703000</v>
      </c>
      <c r="V93" s="184">
        <f t="shared" si="33"/>
        <v>30654000</v>
      </c>
      <c r="W93" s="184">
        <f t="shared" si="34"/>
        <v>0</v>
      </c>
      <c r="X93" s="185">
        <f t="shared" si="37"/>
        <v>0</v>
      </c>
      <c r="Y93" s="184">
        <f t="shared" si="35"/>
        <v>44192850</v>
      </c>
      <c r="Z93" s="210">
        <f t="shared" si="36"/>
        <v>44192850</v>
      </c>
      <c r="AA93" s="251"/>
      <c r="AB93" s="208"/>
      <c r="AC93" s="209"/>
      <c r="AD93" s="209"/>
      <c r="AE93" s="209"/>
    </row>
    <row r="94" spans="1:31" s="128" customFormat="1" ht="63.75" customHeight="1">
      <c r="A94" s="30" t="s">
        <v>67</v>
      </c>
      <c r="B94" s="93" t="s">
        <v>61</v>
      </c>
      <c r="C94" s="95"/>
      <c r="D94" s="95"/>
      <c r="E94" s="95"/>
      <c r="F94" s="95"/>
      <c r="G94" s="95"/>
      <c r="H94" s="107">
        <f aca="true" t="shared" si="38" ref="H94:M94">SUM(H95:H97)</f>
        <v>0</v>
      </c>
      <c r="I94" s="107">
        <f t="shared" si="38"/>
        <v>1502.8</v>
      </c>
      <c r="J94" s="107">
        <f t="shared" si="38"/>
        <v>0</v>
      </c>
      <c r="K94" s="107">
        <f t="shared" si="38"/>
        <v>0</v>
      </c>
      <c r="L94" s="107">
        <f t="shared" si="38"/>
        <v>1502.8</v>
      </c>
      <c r="M94" s="107">
        <f t="shared" si="38"/>
        <v>1502.8</v>
      </c>
      <c r="N94" s="105"/>
      <c r="O94" s="111">
        <f>SUM(O95:O97)</f>
        <v>90168000</v>
      </c>
      <c r="P94" s="111"/>
      <c r="Q94" s="33">
        <f>SUM(Q95:Q97)</f>
        <v>1502.8</v>
      </c>
      <c r="R94" s="111">
        <f>SUM(R95:R97)</f>
        <v>0</v>
      </c>
      <c r="S94" s="105"/>
      <c r="T94" s="111">
        <f>SUM(T95:T97)</f>
        <v>14276600</v>
      </c>
      <c r="U94" s="105">
        <f>SUM(U95:U97)</f>
        <v>15028000</v>
      </c>
      <c r="V94" s="111">
        <f>SUM(V95:V97)</f>
        <v>270504000</v>
      </c>
      <c r="W94" s="105">
        <f>SUM(W95:W97)</f>
        <v>6</v>
      </c>
      <c r="X94" s="34">
        <f t="shared" si="37"/>
        <v>21000000</v>
      </c>
      <c r="Y94" s="105">
        <f>SUM(Y95:Y97)</f>
        <v>410976600</v>
      </c>
      <c r="Z94" s="111">
        <f>SUM(Z95:Z97)</f>
        <v>410976600</v>
      </c>
      <c r="AA94" s="30"/>
      <c r="AB94" s="126"/>
      <c r="AC94" s="127"/>
      <c r="AD94" s="127"/>
      <c r="AE94" s="127"/>
    </row>
    <row r="95" spans="1:31" s="26" customFormat="1" ht="63.75" customHeight="1">
      <c r="A95" s="200">
        <v>1</v>
      </c>
      <c r="B95" s="213" t="s">
        <v>62</v>
      </c>
      <c r="C95" s="178">
        <v>82</v>
      </c>
      <c r="D95" s="178">
        <v>164</v>
      </c>
      <c r="E95" s="179">
        <v>472.8</v>
      </c>
      <c r="F95" s="203" t="s">
        <v>0</v>
      </c>
      <c r="G95" s="180" t="s">
        <v>63</v>
      </c>
      <c r="H95" s="181"/>
      <c r="I95" s="181">
        <v>466.1</v>
      </c>
      <c r="J95" s="180"/>
      <c r="K95" s="180"/>
      <c r="L95" s="226">
        <f>H95+I95+J95+K95</f>
        <v>466.1</v>
      </c>
      <c r="M95" s="226">
        <f>L95</f>
        <v>466.1</v>
      </c>
      <c r="N95" s="184">
        <v>60000</v>
      </c>
      <c r="O95" s="184">
        <f>L95*N95</f>
        <v>27966000</v>
      </c>
      <c r="P95" s="182" t="s">
        <v>30</v>
      </c>
      <c r="Q95" s="182">
        <f>L95</f>
        <v>466.1</v>
      </c>
      <c r="R95" s="182" t="s">
        <v>38</v>
      </c>
      <c r="S95" s="184">
        <v>9500</v>
      </c>
      <c r="T95" s="184">
        <f>Q95*S95</f>
        <v>4427950</v>
      </c>
      <c r="U95" s="184">
        <f>L95*10000</f>
        <v>4661000</v>
      </c>
      <c r="V95" s="184">
        <f>L95*N95*3</f>
        <v>83898000</v>
      </c>
      <c r="W95" s="184">
        <f>INT(M95/218.4)</f>
        <v>2</v>
      </c>
      <c r="X95" s="185">
        <f t="shared" si="37"/>
        <v>7000000</v>
      </c>
      <c r="Y95" s="184">
        <f>O95+T95+U95+V95+X95</f>
        <v>127952950</v>
      </c>
      <c r="Z95" s="210">
        <f>Y95</f>
        <v>127952950</v>
      </c>
      <c r="AA95" s="267" t="s">
        <v>104</v>
      </c>
      <c r="AB95" s="208"/>
      <c r="AC95" s="209"/>
      <c r="AD95" s="209"/>
      <c r="AE95" s="209"/>
    </row>
    <row r="96" spans="1:31" s="26" customFormat="1" ht="63.75" customHeight="1">
      <c r="A96" s="200">
        <v>2</v>
      </c>
      <c r="B96" s="213" t="s">
        <v>64</v>
      </c>
      <c r="C96" s="178">
        <v>82</v>
      </c>
      <c r="D96" s="178">
        <v>126</v>
      </c>
      <c r="E96" s="179">
        <v>642.4</v>
      </c>
      <c r="F96" s="203" t="s">
        <v>0</v>
      </c>
      <c r="G96" s="180" t="s">
        <v>63</v>
      </c>
      <c r="H96" s="181"/>
      <c r="I96" s="181">
        <v>495.7</v>
      </c>
      <c r="J96" s="180"/>
      <c r="K96" s="180"/>
      <c r="L96" s="226">
        <f>H96+I96+J96+K96</f>
        <v>495.7</v>
      </c>
      <c r="M96" s="226">
        <f>L96</f>
        <v>495.7</v>
      </c>
      <c r="N96" s="184">
        <v>60000</v>
      </c>
      <c r="O96" s="184">
        <f>L96*N96</f>
        <v>29742000</v>
      </c>
      <c r="P96" s="182" t="s">
        <v>30</v>
      </c>
      <c r="Q96" s="182">
        <f>L96</f>
        <v>495.7</v>
      </c>
      <c r="R96" s="182" t="s">
        <v>38</v>
      </c>
      <c r="S96" s="184">
        <v>9500</v>
      </c>
      <c r="T96" s="184">
        <f>Q96*S96</f>
        <v>4709150</v>
      </c>
      <c r="U96" s="184">
        <f>L96*10000</f>
        <v>4957000</v>
      </c>
      <c r="V96" s="184">
        <f>L96*N96*3</f>
        <v>89226000</v>
      </c>
      <c r="W96" s="184">
        <f>INT(M96/218.4)</f>
        <v>2</v>
      </c>
      <c r="X96" s="185">
        <f t="shared" si="37"/>
        <v>7000000</v>
      </c>
      <c r="Y96" s="184">
        <f>O96+T96+U96+V96+X96</f>
        <v>135634150</v>
      </c>
      <c r="Z96" s="210">
        <f>Y96</f>
        <v>135634150</v>
      </c>
      <c r="AA96" s="251"/>
      <c r="AB96" s="208"/>
      <c r="AC96" s="209"/>
      <c r="AD96" s="209"/>
      <c r="AE96" s="209"/>
    </row>
    <row r="97" spans="1:31" s="26" customFormat="1" ht="63.75" customHeight="1">
      <c r="A97" s="271">
        <v>3</v>
      </c>
      <c r="B97" s="213" t="s">
        <v>65</v>
      </c>
      <c r="C97" s="178">
        <v>82</v>
      </c>
      <c r="D97" s="178">
        <v>167</v>
      </c>
      <c r="E97" s="179">
        <v>724.1</v>
      </c>
      <c r="F97" s="203" t="s">
        <v>0</v>
      </c>
      <c r="G97" s="180" t="s">
        <v>63</v>
      </c>
      <c r="H97" s="181"/>
      <c r="I97" s="181">
        <v>541</v>
      </c>
      <c r="J97" s="180"/>
      <c r="K97" s="180"/>
      <c r="L97" s="226">
        <f>H97+I97+J97+K97</f>
        <v>541</v>
      </c>
      <c r="M97" s="226">
        <f>L97</f>
        <v>541</v>
      </c>
      <c r="N97" s="184">
        <v>60000</v>
      </c>
      <c r="O97" s="184">
        <f>L97*N97</f>
        <v>32460000</v>
      </c>
      <c r="P97" s="182" t="s">
        <v>30</v>
      </c>
      <c r="Q97" s="182">
        <f>L97</f>
        <v>541</v>
      </c>
      <c r="R97" s="182" t="s">
        <v>38</v>
      </c>
      <c r="S97" s="184">
        <v>9500</v>
      </c>
      <c r="T97" s="184">
        <f>Q97*S97</f>
        <v>5139500</v>
      </c>
      <c r="U97" s="184">
        <f>L97*10000</f>
        <v>5410000</v>
      </c>
      <c r="V97" s="184">
        <f>L97*N97*3</f>
        <v>97380000</v>
      </c>
      <c r="W97" s="184">
        <f>INT(M97/218.4)</f>
        <v>2</v>
      </c>
      <c r="X97" s="185">
        <f t="shared" si="37"/>
        <v>7000000</v>
      </c>
      <c r="Y97" s="184">
        <f>O97+T97+U97+V97+X97</f>
        <v>147389500</v>
      </c>
      <c r="Z97" s="210">
        <f>Y97</f>
        <v>147389500</v>
      </c>
      <c r="AA97" s="251"/>
      <c r="AB97" s="208"/>
      <c r="AC97" s="209"/>
      <c r="AD97" s="209"/>
      <c r="AE97" s="209"/>
    </row>
    <row r="99" ht="78" customHeight="1"/>
    <row r="100" ht="78" customHeight="1"/>
    <row r="101" ht="78" customHeight="1"/>
    <row r="102" ht="78" customHeight="1"/>
    <row r="103" ht="78" customHeight="1"/>
    <row r="104" ht="78" customHeight="1"/>
    <row r="105" ht="78" customHeight="1"/>
    <row r="106" ht="78" customHeight="1"/>
    <row r="107" ht="78" customHeight="1"/>
    <row r="108" ht="78" customHeight="1"/>
    <row r="109" ht="78" customHeight="1"/>
    <row r="110" ht="78" customHeight="1"/>
    <row r="111" ht="78" customHeight="1"/>
    <row r="112" ht="78" customHeight="1"/>
    <row r="113" ht="78" customHeight="1"/>
    <row r="114" ht="78" customHeight="1"/>
    <row r="115" ht="78" customHeight="1"/>
    <row r="116" ht="78" customHeight="1"/>
    <row r="117" ht="78" customHeight="1"/>
    <row r="118" ht="78" customHeight="1"/>
    <row r="119" ht="78" customHeight="1"/>
    <row r="120" ht="78" customHeight="1"/>
    <row r="121" ht="78" customHeight="1"/>
    <row r="122" ht="78" customHeight="1"/>
    <row r="123" ht="78" customHeight="1"/>
    <row r="124" ht="78" customHeight="1"/>
    <row r="125" ht="78" customHeight="1"/>
    <row r="126" ht="78" customHeight="1"/>
    <row r="127" ht="78" customHeight="1"/>
    <row r="128" ht="78" customHeight="1"/>
    <row r="129" ht="78" customHeight="1"/>
    <row r="130" ht="78" customHeight="1"/>
    <row r="131" ht="78" customHeight="1"/>
    <row r="132" ht="78" customHeight="1"/>
    <row r="133" ht="78" customHeight="1"/>
    <row r="134" ht="78" customHeight="1"/>
    <row r="135" ht="78" customHeight="1"/>
    <row r="136" ht="78" customHeight="1"/>
    <row r="137" ht="78" customHeight="1"/>
    <row r="138" ht="78" customHeight="1"/>
    <row r="139" ht="78" customHeight="1"/>
    <row r="140" ht="78" customHeight="1"/>
    <row r="141" ht="78" customHeight="1"/>
    <row r="142" ht="78" customHeight="1"/>
    <row r="143" ht="78" customHeight="1"/>
    <row r="144" ht="78" customHeight="1"/>
    <row r="145" ht="78" customHeight="1"/>
    <row r="146" ht="78" customHeight="1"/>
    <row r="147" ht="78" customHeight="1"/>
    <row r="148" ht="78" customHeight="1"/>
    <row r="149" ht="78" customHeight="1"/>
    <row r="150" ht="78" customHeight="1"/>
    <row r="151" ht="78" customHeight="1"/>
    <row r="152" ht="78" customHeight="1"/>
    <row r="153" ht="78" customHeight="1"/>
    <row r="154" ht="78" customHeight="1"/>
    <row r="155" ht="78" customHeight="1"/>
    <row r="156" ht="78" customHeight="1"/>
    <row r="157" ht="78" customHeight="1"/>
    <row r="158" ht="78" customHeight="1"/>
    <row r="159" ht="78" customHeight="1"/>
    <row r="160" ht="78" customHeight="1"/>
    <row r="161" ht="78" customHeight="1"/>
    <row r="162" ht="78" customHeight="1"/>
    <row r="163" ht="78" customHeight="1"/>
    <row r="164" ht="78" customHeight="1"/>
    <row r="165" ht="78" customHeight="1"/>
    <row r="166" ht="78" customHeight="1"/>
    <row r="167" ht="78" customHeight="1"/>
    <row r="168" ht="78" customHeight="1"/>
    <row r="169" ht="78" customHeight="1"/>
    <row r="170" ht="78" customHeight="1"/>
    <row r="171" ht="78" customHeight="1"/>
    <row r="172" ht="78" customHeight="1"/>
    <row r="173" ht="78" customHeight="1"/>
    <row r="174" ht="78" customHeight="1"/>
    <row r="175" ht="78" customHeight="1"/>
    <row r="176" ht="78" customHeight="1"/>
    <row r="177" ht="78" customHeight="1"/>
    <row r="178" ht="78" customHeight="1"/>
    <row r="179" ht="78" customHeight="1"/>
    <row r="180" ht="78" customHeight="1"/>
    <row r="181" ht="78" customHeight="1"/>
    <row r="182" ht="78" customHeight="1"/>
    <row r="183" ht="78" customHeight="1"/>
    <row r="184" ht="78" customHeight="1"/>
    <row r="185" ht="78" customHeight="1"/>
    <row r="186" ht="78" customHeight="1"/>
    <row r="187" ht="78" customHeight="1"/>
    <row r="188" ht="78" customHeight="1"/>
    <row r="189" ht="78" customHeight="1"/>
    <row r="190" ht="78" customHeight="1"/>
    <row r="191" ht="78" customHeight="1"/>
    <row r="192" ht="78" customHeight="1"/>
  </sheetData>
  <sheetProtection/>
  <autoFilter ref="A8:AA97"/>
  <mergeCells count="22">
    <mergeCell ref="A1:AA1"/>
    <mergeCell ref="A2:AA2"/>
    <mergeCell ref="A3:AA3"/>
    <mergeCell ref="A4:AA4"/>
    <mergeCell ref="A6:A7"/>
    <mergeCell ref="B6:B7"/>
    <mergeCell ref="C6:E6"/>
    <mergeCell ref="F6:F7"/>
    <mergeCell ref="Y6:Y7"/>
    <mergeCell ref="Z6:Z7"/>
    <mergeCell ref="AA6:AA7"/>
    <mergeCell ref="A9:B9"/>
    <mergeCell ref="G6:G7"/>
    <mergeCell ref="H6:I6"/>
    <mergeCell ref="P6:T6"/>
    <mergeCell ref="U6:X6"/>
    <mergeCell ref="M74:M77"/>
    <mergeCell ref="M78:M80"/>
    <mergeCell ref="J6:K6"/>
    <mergeCell ref="L6:L7"/>
    <mergeCell ref="M6:M7"/>
    <mergeCell ref="N6:O6"/>
  </mergeCells>
  <printOptions/>
  <pageMargins left="0.25" right="0.25" top="0.75" bottom="0.34" header="0.3" footer="0.18"/>
  <pageSetup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M75"/>
  <sheetViews>
    <sheetView zoomScale="50" zoomScaleNormal="50" zoomScaleSheetLayoutView="70" zoomScalePageLayoutView="0" workbookViewId="0" topLeftCell="A1">
      <pane ySplit="6" topLeftCell="A70" activePane="bottomLeft" state="frozen"/>
      <selection pane="topLeft" activeCell="A1" sqref="A1"/>
      <selection pane="bottomLeft" activeCell="H75" sqref="H75"/>
    </sheetView>
  </sheetViews>
  <sheetFormatPr defaultColWidth="9.140625" defaultRowHeight="12.75"/>
  <cols>
    <col min="1" max="1" width="12.7109375" style="308" bestFit="1" customWidth="1"/>
    <col min="2" max="2" width="52.7109375" style="384" customWidth="1"/>
    <col min="3" max="4" width="9.7109375" style="43" customWidth="1"/>
    <col min="5" max="5" width="12.7109375" style="43" customWidth="1"/>
    <col min="6" max="6" width="10.28125" style="43" customWidth="1"/>
    <col min="7" max="7" width="25.28125" style="43" customWidth="1"/>
    <col min="8" max="8" width="11.28125" style="43" customWidth="1"/>
    <col min="9" max="9" width="15.28125" style="43" customWidth="1"/>
    <col min="10" max="11" width="12.7109375" style="43" hidden="1" customWidth="1"/>
    <col min="12" max="12" width="15.140625" style="310" customWidth="1"/>
    <col min="13" max="13" width="12.00390625" style="43" customWidth="1"/>
    <col min="14" max="14" width="11.7109375" style="43" customWidth="1"/>
    <col min="15" max="15" width="19.421875" style="43" customWidth="1"/>
    <col min="16" max="16" width="15.28125" style="43" customWidth="1"/>
    <col min="17" max="17" width="11.57421875" style="43" customWidth="1"/>
    <col min="18" max="18" width="7.28125" style="43" customWidth="1"/>
    <col min="19" max="19" width="14.57421875" style="43" customWidth="1"/>
    <col min="20" max="20" width="17.28125" style="43" customWidth="1"/>
    <col min="21" max="21" width="17.00390625" style="43" customWidth="1"/>
    <col min="22" max="22" width="19.140625" style="43" customWidth="1"/>
    <col min="23" max="23" width="9.7109375" style="310" customWidth="1"/>
    <col min="24" max="24" width="18.8515625" style="35" customWidth="1"/>
    <col min="25" max="26" width="19.57421875" style="43" customWidth="1"/>
    <col min="27" max="27" width="15.140625" style="43" customWidth="1"/>
    <col min="28" max="29" width="0" style="35" hidden="1" customWidth="1"/>
    <col min="30" max="30" width="20.00390625" style="35" hidden="1" customWidth="1"/>
    <col min="31" max="31" width="0" style="35" hidden="1" customWidth="1"/>
    <col min="32" max="32" width="24.57421875" style="35" hidden="1" customWidth="1"/>
    <col min="33" max="35" width="9.140625" style="35" customWidth="1"/>
    <col min="36" max="36" width="20.421875" style="35" customWidth="1"/>
    <col min="37" max="39" width="9.140625" style="35" customWidth="1"/>
    <col min="40" max="16384" width="9.140625" style="43" customWidth="1"/>
  </cols>
  <sheetData>
    <row r="1" spans="1:31" ht="23.25" customHeight="1">
      <c r="A1" s="844" t="s">
        <v>253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302"/>
      <c r="AC1" s="303"/>
      <c r="AD1" s="303"/>
      <c r="AE1" s="303"/>
    </row>
    <row r="2" spans="1:31" ht="22.5" customHeight="1">
      <c r="A2" s="844" t="s">
        <v>48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  <c r="AB2" s="302"/>
      <c r="AC2" s="303"/>
      <c r="AD2" s="303"/>
      <c r="AE2" s="303"/>
    </row>
    <row r="3" spans="1:31" ht="13.5" customHeight="1">
      <c r="A3" s="48"/>
      <c r="B3" s="374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302"/>
      <c r="AC3" s="303"/>
      <c r="AD3" s="303"/>
      <c r="AE3" s="303"/>
    </row>
    <row r="4" spans="1:31" ht="30.75" customHeight="1">
      <c r="A4" s="899" t="s">
        <v>239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302"/>
      <c r="AC4" s="303"/>
      <c r="AD4" s="303"/>
      <c r="AE4" s="303"/>
    </row>
    <row r="5" spans="1:31" ht="59.25" customHeight="1">
      <c r="A5" s="846" t="s">
        <v>136</v>
      </c>
      <c r="B5" s="900" t="s">
        <v>8</v>
      </c>
      <c r="C5" s="896" t="s">
        <v>27</v>
      </c>
      <c r="D5" s="896"/>
      <c r="E5" s="896"/>
      <c r="F5" s="896"/>
      <c r="G5" s="846" t="s">
        <v>9</v>
      </c>
      <c r="H5" s="896" t="s">
        <v>148</v>
      </c>
      <c r="I5" s="896"/>
      <c r="J5" s="896" t="s">
        <v>149</v>
      </c>
      <c r="K5" s="896"/>
      <c r="L5" s="846" t="s">
        <v>14</v>
      </c>
      <c r="M5" s="862" t="s">
        <v>15</v>
      </c>
      <c r="N5" s="891" t="s">
        <v>22</v>
      </c>
      <c r="O5" s="892"/>
      <c r="P5" s="891" t="s">
        <v>10</v>
      </c>
      <c r="Q5" s="893"/>
      <c r="R5" s="893"/>
      <c r="S5" s="893"/>
      <c r="T5" s="892"/>
      <c r="U5" s="894" t="s">
        <v>24</v>
      </c>
      <c r="V5" s="894"/>
      <c r="W5" s="894"/>
      <c r="X5" s="894"/>
      <c r="Y5" s="897" t="s">
        <v>16</v>
      </c>
      <c r="Z5" s="902" t="s">
        <v>17</v>
      </c>
      <c r="AA5" s="896" t="s">
        <v>7</v>
      </c>
      <c r="AB5" s="302"/>
      <c r="AC5" s="303"/>
      <c r="AD5" s="303"/>
      <c r="AE5" s="303"/>
    </row>
    <row r="6" spans="1:39" s="345" customFormat="1" ht="208.5" customHeight="1">
      <c r="A6" s="847"/>
      <c r="B6" s="901"/>
      <c r="C6" s="400" t="s">
        <v>247</v>
      </c>
      <c r="D6" s="400" t="s">
        <v>248</v>
      </c>
      <c r="E6" s="339" t="s">
        <v>4</v>
      </c>
      <c r="F6" s="55" t="s">
        <v>18</v>
      </c>
      <c r="G6" s="847"/>
      <c r="H6" s="340" t="s">
        <v>202</v>
      </c>
      <c r="I6" s="340" t="s">
        <v>146</v>
      </c>
      <c r="J6" s="340" t="s">
        <v>202</v>
      </c>
      <c r="K6" s="340" t="s">
        <v>146</v>
      </c>
      <c r="L6" s="847"/>
      <c r="M6" s="863"/>
      <c r="N6" s="340" t="s">
        <v>12</v>
      </c>
      <c r="O6" s="341" t="s">
        <v>21</v>
      </c>
      <c r="P6" s="342" t="s">
        <v>11</v>
      </c>
      <c r="Q6" s="343" t="s">
        <v>20</v>
      </c>
      <c r="R6" s="342" t="s">
        <v>19</v>
      </c>
      <c r="S6" s="342" t="s">
        <v>12</v>
      </c>
      <c r="T6" s="344" t="s">
        <v>13</v>
      </c>
      <c r="U6" s="344" t="s">
        <v>28</v>
      </c>
      <c r="V6" s="344" t="s">
        <v>29</v>
      </c>
      <c r="W6" s="344" t="s">
        <v>25</v>
      </c>
      <c r="X6" s="342" t="s">
        <v>23</v>
      </c>
      <c r="Y6" s="898"/>
      <c r="Z6" s="903"/>
      <c r="AA6" s="896"/>
      <c r="AB6" s="334"/>
      <c r="AC6" s="335"/>
      <c r="AD6" s="335"/>
      <c r="AE6" s="335"/>
      <c r="AF6" s="336"/>
      <c r="AG6" s="336"/>
      <c r="AH6" s="336"/>
      <c r="AI6" s="336"/>
      <c r="AJ6" s="336"/>
      <c r="AK6" s="336"/>
      <c r="AL6" s="336"/>
      <c r="AM6" s="336"/>
    </row>
    <row r="7" spans="1:31" ht="22.5" customHeight="1">
      <c r="A7" s="60">
        <v>1</v>
      </c>
      <c r="B7" s="375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/>
      <c r="I7" s="60"/>
      <c r="J7" s="60"/>
      <c r="K7" s="60"/>
      <c r="L7" s="60">
        <v>11</v>
      </c>
      <c r="M7" s="60">
        <v>12</v>
      </c>
      <c r="N7" s="60">
        <v>14</v>
      </c>
      <c r="O7" s="60">
        <v>15</v>
      </c>
      <c r="P7" s="60">
        <v>17</v>
      </c>
      <c r="Q7" s="60">
        <v>18</v>
      </c>
      <c r="R7" s="60">
        <v>19</v>
      </c>
      <c r="S7" s="60">
        <v>20</v>
      </c>
      <c r="T7" s="60">
        <v>21</v>
      </c>
      <c r="U7" s="60">
        <v>22</v>
      </c>
      <c r="V7" s="60">
        <v>23</v>
      </c>
      <c r="W7" s="60">
        <v>25</v>
      </c>
      <c r="X7" s="60">
        <v>26</v>
      </c>
      <c r="Y7" s="63">
        <v>27</v>
      </c>
      <c r="Z7" s="60">
        <v>28</v>
      </c>
      <c r="AA7" s="60">
        <v>29</v>
      </c>
      <c r="AB7" s="302"/>
      <c r="AC7" s="303"/>
      <c r="AD7" s="303"/>
      <c r="AE7" s="303"/>
    </row>
    <row r="8" spans="1:36" ht="66.75" customHeight="1" hidden="1">
      <c r="A8" s="860" t="s">
        <v>246</v>
      </c>
      <c r="B8" s="861"/>
      <c r="C8" s="60"/>
      <c r="D8" s="60"/>
      <c r="E8" s="60"/>
      <c r="F8" s="60"/>
      <c r="G8" s="60"/>
      <c r="H8" s="33">
        <f aca="true" t="shared" si="0" ref="H8:M8">H9+H66</f>
        <v>8655.099999999999</v>
      </c>
      <c r="I8" s="33">
        <f t="shared" si="0"/>
        <v>9553.999999999998</v>
      </c>
      <c r="J8" s="33">
        <f t="shared" si="0"/>
        <v>0</v>
      </c>
      <c r="K8" s="33">
        <f t="shared" si="0"/>
        <v>0</v>
      </c>
      <c r="L8" s="33">
        <f t="shared" si="0"/>
        <v>18209.100000000002</v>
      </c>
      <c r="M8" s="33">
        <f t="shared" si="0"/>
        <v>18209.1</v>
      </c>
      <c r="N8" s="33"/>
      <c r="O8" s="105">
        <f>O9+O66</f>
        <v>1092546000</v>
      </c>
      <c r="P8" s="33"/>
      <c r="Q8" s="33">
        <f>Q9+Q66</f>
        <v>18209.100000000002</v>
      </c>
      <c r="R8" s="33"/>
      <c r="S8" s="33"/>
      <c r="T8" s="105">
        <f aca="true" t="shared" si="1" ref="T8:Z8">T9+T66</f>
        <v>172986450</v>
      </c>
      <c r="U8" s="105">
        <f t="shared" si="1"/>
        <v>182091000</v>
      </c>
      <c r="V8" s="105">
        <f t="shared" si="1"/>
        <v>3277638000</v>
      </c>
      <c r="W8" s="105">
        <f t="shared" si="1"/>
        <v>88</v>
      </c>
      <c r="X8" s="105">
        <f t="shared" si="1"/>
        <v>308000000</v>
      </c>
      <c r="Y8" s="105">
        <f t="shared" si="1"/>
        <v>5033261450</v>
      </c>
      <c r="Z8" s="105">
        <f t="shared" si="1"/>
        <v>5033261450</v>
      </c>
      <c r="AA8" s="60"/>
      <c r="AB8" s="302"/>
      <c r="AC8" s="303"/>
      <c r="AD8" s="303"/>
      <c r="AE8" s="303"/>
      <c r="AF8" s="315">
        <f>Q8-Q11</f>
        <v>18142.7</v>
      </c>
      <c r="AJ8" s="105">
        <v>4130184240</v>
      </c>
    </row>
    <row r="9" spans="1:39" s="128" customFormat="1" ht="63.75" customHeight="1" hidden="1">
      <c r="A9" s="66" t="s">
        <v>245</v>
      </c>
      <c r="B9" s="376" t="s">
        <v>41</v>
      </c>
      <c r="C9" s="66"/>
      <c r="D9" s="66"/>
      <c r="E9" s="67"/>
      <c r="F9" s="66"/>
      <c r="G9" s="69"/>
      <c r="H9" s="69">
        <f aca="true" t="shared" si="2" ref="H9:M9">SUM(H10:H65)</f>
        <v>8655.099999999999</v>
      </c>
      <c r="I9" s="69">
        <f t="shared" si="2"/>
        <v>8656.699999999999</v>
      </c>
      <c r="J9" s="69">
        <f t="shared" si="2"/>
        <v>0</v>
      </c>
      <c r="K9" s="69">
        <f t="shared" si="2"/>
        <v>0</v>
      </c>
      <c r="L9" s="69">
        <f t="shared" si="2"/>
        <v>17311.800000000003</v>
      </c>
      <c r="M9" s="69">
        <f t="shared" si="2"/>
        <v>17311.8</v>
      </c>
      <c r="N9" s="33"/>
      <c r="O9" s="69">
        <f>SUM(O10:O65)</f>
        <v>1038708000</v>
      </c>
      <c r="P9" s="33"/>
      <c r="Q9" s="69">
        <f>SUM(Q10:Q65)</f>
        <v>17311.800000000003</v>
      </c>
      <c r="R9" s="33"/>
      <c r="S9" s="33"/>
      <c r="T9" s="69">
        <f aca="true" t="shared" si="3" ref="T9:Z9">SUM(T10:T65)</f>
        <v>164462100</v>
      </c>
      <c r="U9" s="69">
        <f t="shared" si="3"/>
        <v>173118000</v>
      </c>
      <c r="V9" s="69">
        <f t="shared" si="3"/>
        <v>3116124000</v>
      </c>
      <c r="W9" s="116">
        <f t="shared" si="3"/>
        <v>85</v>
      </c>
      <c r="X9" s="69">
        <f t="shared" si="3"/>
        <v>297500000</v>
      </c>
      <c r="Y9" s="69">
        <f t="shared" si="3"/>
        <v>4789912100</v>
      </c>
      <c r="Z9" s="69">
        <f t="shared" si="3"/>
        <v>4789912100</v>
      </c>
      <c r="AA9" s="30"/>
      <c r="AB9" s="302"/>
      <c r="AC9" s="303"/>
      <c r="AD9" s="303"/>
      <c r="AE9" s="303"/>
      <c r="AF9" s="35"/>
      <c r="AG9" s="35"/>
      <c r="AH9" s="35"/>
      <c r="AI9" s="35"/>
      <c r="AJ9" s="35"/>
      <c r="AK9" s="35"/>
      <c r="AL9" s="35"/>
      <c r="AM9" s="35"/>
    </row>
    <row r="10" spans="1:31" s="365" customFormat="1" ht="68.25" customHeight="1" hidden="1">
      <c r="A10" s="346">
        <v>1</v>
      </c>
      <c r="B10" s="377" t="s">
        <v>206</v>
      </c>
      <c r="C10" s="347">
        <v>97</v>
      </c>
      <c r="D10" s="347">
        <v>72</v>
      </c>
      <c r="E10" s="348">
        <v>32.9</v>
      </c>
      <c r="F10" s="348" t="s">
        <v>45</v>
      </c>
      <c r="G10" s="355" t="s">
        <v>44</v>
      </c>
      <c r="H10" s="346"/>
      <c r="I10" s="348">
        <v>32.9</v>
      </c>
      <c r="J10" s="356"/>
      <c r="K10" s="357"/>
      <c r="L10" s="358">
        <f>H10+I10+J10+K10</f>
        <v>32.9</v>
      </c>
      <c r="M10" s="889">
        <f>L10+L11+L12</f>
        <v>131.3</v>
      </c>
      <c r="N10" s="360">
        <v>60000</v>
      </c>
      <c r="O10" s="360">
        <f>L10*N10</f>
        <v>1974000</v>
      </c>
      <c r="P10" s="358" t="s">
        <v>30</v>
      </c>
      <c r="Q10" s="358">
        <f>L10</f>
        <v>32.9</v>
      </c>
      <c r="R10" s="358" t="s">
        <v>240</v>
      </c>
      <c r="S10" s="360">
        <v>9500</v>
      </c>
      <c r="T10" s="360">
        <f>Q10*S10</f>
        <v>312550</v>
      </c>
      <c r="U10" s="360">
        <f>L10*10000</f>
        <v>329000</v>
      </c>
      <c r="V10" s="360">
        <f>L10*N10*3</f>
        <v>5922000</v>
      </c>
      <c r="W10" s="360">
        <f aca="true" t="shared" si="4" ref="W10:W63">INT(M10/176.4)</f>
        <v>0</v>
      </c>
      <c r="X10" s="361">
        <f>W10*3500000</f>
        <v>0</v>
      </c>
      <c r="Y10" s="362">
        <f>O10+T10+U10+V10+X10</f>
        <v>8537550</v>
      </c>
      <c r="Z10" s="363">
        <f>Y10</f>
        <v>8537550</v>
      </c>
      <c r="AA10" s="350"/>
      <c r="AB10" s="364"/>
      <c r="AC10" s="364"/>
      <c r="AD10" s="364">
        <f>74</f>
        <v>74</v>
      </c>
      <c r="AE10" s="364"/>
    </row>
    <row r="11" spans="1:32" s="365" customFormat="1" ht="68.25" customHeight="1" hidden="1">
      <c r="A11" s="346">
        <v>1</v>
      </c>
      <c r="B11" s="377" t="s">
        <v>206</v>
      </c>
      <c r="C11" s="347">
        <v>95</v>
      </c>
      <c r="D11" s="347">
        <v>72</v>
      </c>
      <c r="E11" s="348">
        <v>66.4</v>
      </c>
      <c r="F11" s="348" t="s">
        <v>45</v>
      </c>
      <c r="G11" s="355" t="s">
        <v>44</v>
      </c>
      <c r="H11" s="346"/>
      <c r="I11" s="348">
        <v>66.4</v>
      </c>
      <c r="J11" s="356"/>
      <c r="K11" s="357"/>
      <c r="L11" s="358">
        <f>H11+I11+J11+K11</f>
        <v>66.4</v>
      </c>
      <c r="M11" s="895"/>
      <c r="N11" s="360">
        <v>60000</v>
      </c>
      <c r="O11" s="360">
        <f>L11*N11</f>
        <v>3984000.0000000005</v>
      </c>
      <c r="P11" s="358" t="s">
        <v>30</v>
      </c>
      <c r="Q11" s="358">
        <f>L11</f>
        <v>66.4</v>
      </c>
      <c r="R11" s="358" t="s">
        <v>240</v>
      </c>
      <c r="S11" s="360">
        <v>9500</v>
      </c>
      <c r="T11" s="360">
        <f>Q11*S11</f>
        <v>630800</v>
      </c>
      <c r="U11" s="360">
        <f>L11*10000</f>
        <v>664000</v>
      </c>
      <c r="V11" s="360">
        <f>L11*N11*3</f>
        <v>11952000.000000002</v>
      </c>
      <c r="W11" s="360">
        <f t="shared" si="4"/>
        <v>0</v>
      </c>
      <c r="X11" s="361">
        <f aca="true" t="shared" si="5" ref="X11:X74">W11*3500000</f>
        <v>0</v>
      </c>
      <c r="Y11" s="362">
        <f>O11+T11+U11+V11+X11</f>
        <v>17230800</v>
      </c>
      <c r="Z11" s="363">
        <f>Y11</f>
        <v>17230800</v>
      </c>
      <c r="AA11" s="350"/>
      <c r="AB11" s="364"/>
      <c r="AC11" s="364"/>
      <c r="AD11" s="364" t="s">
        <v>85</v>
      </c>
      <c r="AE11" s="364"/>
      <c r="AF11" s="366">
        <f>Y11</f>
        <v>17230800</v>
      </c>
    </row>
    <row r="12" spans="1:31" s="365" customFormat="1" ht="68.25" customHeight="1" hidden="1">
      <c r="A12" s="346">
        <v>1</v>
      </c>
      <c r="B12" s="377" t="s">
        <v>206</v>
      </c>
      <c r="C12" s="347">
        <v>221</v>
      </c>
      <c r="D12" s="347">
        <v>72</v>
      </c>
      <c r="E12" s="348">
        <v>32</v>
      </c>
      <c r="F12" s="348" t="s">
        <v>45</v>
      </c>
      <c r="G12" s="355" t="s">
        <v>44</v>
      </c>
      <c r="H12" s="346"/>
      <c r="I12" s="348">
        <v>32</v>
      </c>
      <c r="J12" s="367"/>
      <c r="K12" s="357"/>
      <c r="L12" s="358">
        <f>H12+I12+J12+K12</f>
        <v>32</v>
      </c>
      <c r="M12" s="890"/>
      <c r="N12" s="360">
        <v>60000</v>
      </c>
      <c r="O12" s="360">
        <f aca="true" t="shared" si="6" ref="O12:O71">L12*N12</f>
        <v>1920000</v>
      </c>
      <c r="P12" s="358" t="s">
        <v>30</v>
      </c>
      <c r="Q12" s="358">
        <f aca="true" t="shared" si="7" ref="Q12:Q71">L12</f>
        <v>32</v>
      </c>
      <c r="R12" s="358" t="s">
        <v>241</v>
      </c>
      <c r="S12" s="360">
        <v>9500</v>
      </c>
      <c r="T12" s="360">
        <f aca="true" t="shared" si="8" ref="T12:T71">Q12*S12</f>
        <v>304000</v>
      </c>
      <c r="U12" s="360">
        <f aca="true" t="shared" si="9" ref="U12:U71">L12*10000</f>
        <v>320000</v>
      </c>
      <c r="V12" s="360">
        <f aca="true" t="shared" si="10" ref="V12:V71">L12*N12*3</f>
        <v>5760000</v>
      </c>
      <c r="W12" s="360">
        <f t="shared" si="4"/>
        <v>0</v>
      </c>
      <c r="X12" s="361">
        <f t="shared" si="5"/>
        <v>0</v>
      </c>
      <c r="Y12" s="362">
        <f aca="true" t="shared" si="11" ref="Y12:Y75">O12+T12+U12+V12+X12</f>
        <v>8304000</v>
      </c>
      <c r="Z12" s="363">
        <f aca="true" t="shared" si="12" ref="Z12:Z75">Y12</f>
        <v>8304000</v>
      </c>
      <c r="AA12" s="350"/>
      <c r="AB12" s="364"/>
      <c r="AC12" s="364"/>
      <c r="AD12" s="364"/>
      <c r="AE12" s="364"/>
    </row>
    <row r="13" spans="1:31" s="365" customFormat="1" ht="68.25" customHeight="1" hidden="1">
      <c r="A13" s="346">
        <v>2</v>
      </c>
      <c r="B13" s="377" t="s">
        <v>207</v>
      </c>
      <c r="C13" s="347">
        <v>173</v>
      </c>
      <c r="D13" s="347">
        <v>72</v>
      </c>
      <c r="E13" s="348">
        <v>29.6</v>
      </c>
      <c r="F13" s="348" t="s">
        <v>45</v>
      </c>
      <c r="G13" s="355" t="s">
        <v>44</v>
      </c>
      <c r="H13" s="346"/>
      <c r="I13" s="348">
        <v>29.6</v>
      </c>
      <c r="J13" s="367"/>
      <c r="K13" s="357"/>
      <c r="L13" s="358">
        <f>H13+I13+J13+K13</f>
        <v>29.6</v>
      </c>
      <c r="M13" s="359">
        <f>L13</f>
        <v>29.6</v>
      </c>
      <c r="N13" s="360">
        <v>60000</v>
      </c>
      <c r="O13" s="360">
        <f t="shared" si="6"/>
        <v>1776000</v>
      </c>
      <c r="P13" s="358" t="s">
        <v>30</v>
      </c>
      <c r="Q13" s="358">
        <f t="shared" si="7"/>
        <v>29.6</v>
      </c>
      <c r="R13" s="358" t="s">
        <v>241</v>
      </c>
      <c r="S13" s="360">
        <v>9500</v>
      </c>
      <c r="T13" s="360">
        <f t="shared" si="8"/>
        <v>281200</v>
      </c>
      <c r="U13" s="360">
        <f t="shared" si="9"/>
        <v>296000</v>
      </c>
      <c r="V13" s="360">
        <f t="shared" si="10"/>
        <v>5328000</v>
      </c>
      <c r="W13" s="360">
        <f t="shared" si="4"/>
        <v>0</v>
      </c>
      <c r="X13" s="361">
        <f t="shared" si="5"/>
        <v>0</v>
      </c>
      <c r="Y13" s="362">
        <f t="shared" si="11"/>
        <v>7681200</v>
      </c>
      <c r="Z13" s="363">
        <f t="shared" si="12"/>
        <v>7681200</v>
      </c>
      <c r="AA13" s="350"/>
      <c r="AB13" s="364"/>
      <c r="AC13" s="364"/>
      <c r="AD13" s="364"/>
      <c r="AE13" s="364"/>
    </row>
    <row r="14" spans="1:39" s="368" customFormat="1" ht="68.25" customHeight="1" hidden="1">
      <c r="A14" s="350">
        <v>3</v>
      </c>
      <c r="B14" s="378" t="s">
        <v>208</v>
      </c>
      <c r="C14" s="350">
        <v>71</v>
      </c>
      <c r="D14" s="350">
        <v>81</v>
      </c>
      <c r="E14" s="350">
        <v>965.6</v>
      </c>
      <c r="F14" s="350" t="s">
        <v>0</v>
      </c>
      <c r="G14" s="350" t="s">
        <v>37</v>
      </c>
      <c r="H14" s="348">
        <v>965.6</v>
      </c>
      <c r="I14" s="348"/>
      <c r="L14" s="358">
        <f aca="true" t="shared" si="13" ref="L14:L60">H14+I14+J14+K14</f>
        <v>965.6</v>
      </c>
      <c r="M14" s="889">
        <f>L14+L15+L16</f>
        <v>1162.4</v>
      </c>
      <c r="N14" s="360">
        <v>60000</v>
      </c>
      <c r="O14" s="360">
        <f t="shared" si="6"/>
        <v>57936000</v>
      </c>
      <c r="P14" s="358" t="s">
        <v>30</v>
      </c>
      <c r="Q14" s="358">
        <f t="shared" si="7"/>
        <v>965.6</v>
      </c>
      <c r="R14" s="358" t="s">
        <v>241</v>
      </c>
      <c r="S14" s="360">
        <v>9500</v>
      </c>
      <c r="T14" s="360">
        <f t="shared" si="8"/>
        <v>9173200</v>
      </c>
      <c r="U14" s="360">
        <f t="shared" si="9"/>
        <v>9656000</v>
      </c>
      <c r="V14" s="360">
        <f t="shared" si="10"/>
        <v>173808000</v>
      </c>
      <c r="W14" s="360">
        <f t="shared" si="4"/>
        <v>6</v>
      </c>
      <c r="X14" s="361">
        <f t="shared" si="5"/>
        <v>21000000</v>
      </c>
      <c r="Y14" s="362">
        <f t="shared" si="11"/>
        <v>271573200</v>
      </c>
      <c r="Z14" s="363">
        <f t="shared" si="12"/>
        <v>271573200</v>
      </c>
      <c r="AA14" s="350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</row>
    <row r="15" spans="1:39" s="368" customFormat="1" ht="68.25" customHeight="1" hidden="1">
      <c r="A15" s="350">
        <v>3</v>
      </c>
      <c r="B15" s="378" t="s">
        <v>208</v>
      </c>
      <c r="C15" s="350">
        <v>279</v>
      </c>
      <c r="D15" s="350">
        <v>72</v>
      </c>
      <c r="E15" s="350">
        <v>170.6</v>
      </c>
      <c r="F15" s="350" t="s">
        <v>45</v>
      </c>
      <c r="G15" s="350" t="s">
        <v>44</v>
      </c>
      <c r="H15" s="356"/>
      <c r="I15" s="348">
        <v>170.6</v>
      </c>
      <c r="L15" s="358">
        <f t="shared" si="13"/>
        <v>170.6</v>
      </c>
      <c r="M15" s="895"/>
      <c r="N15" s="360">
        <v>60000</v>
      </c>
      <c r="O15" s="360">
        <f t="shared" si="6"/>
        <v>10236000</v>
      </c>
      <c r="P15" s="358" t="s">
        <v>30</v>
      </c>
      <c r="Q15" s="358">
        <f t="shared" si="7"/>
        <v>170.6</v>
      </c>
      <c r="R15" s="358" t="s">
        <v>241</v>
      </c>
      <c r="S15" s="360">
        <v>9500</v>
      </c>
      <c r="T15" s="360">
        <f t="shared" si="8"/>
        <v>1620700</v>
      </c>
      <c r="U15" s="360">
        <f t="shared" si="9"/>
        <v>1706000</v>
      </c>
      <c r="V15" s="360">
        <f t="shared" si="10"/>
        <v>30708000</v>
      </c>
      <c r="W15" s="360">
        <f t="shared" si="4"/>
        <v>0</v>
      </c>
      <c r="X15" s="361">
        <f t="shared" si="5"/>
        <v>0</v>
      </c>
      <c r="Y15" s="362">
        <f t="shared" si="11"/>
        <v>44270700</v>
      </c>
      <c r="Z15" s="363">
        <f t="shared" si="12"/>
        <v>44270700</v>
      </c>
      <c r="AA15" s="350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</row>
    <row r="16" spans="1:39" s="368" customFormat="1" ht="68.25" customHeight="1" hidden="1">
      <c r="A16" s="350">
        <v>3</v>
      </c>
      <c r="B16" s="378" t="s">
        <v>208</v>
      </c>
      <c r="C16" s="350">
        <v>54</v>
      </c>
      <c r="D16" s="350">
        <v>72</v>
      </c>
      <c r="E16" s="350">
        <v>26.2</v>
      </c>
      <c r="F16" s="350" t="s">
        <v>45</v>
      </c>
      <c r="G16" s="350" t="s">
        <v>44</v>
      </c>
      <c r="H16" s="356"/>
      <c r="I16" s="348">
        <v>26.2</v>
      </c>
      <c r="L16" s="358">
        <f t="shared" si="13"/>
        <v>26.2</v>
      </c>
      <c r="M16" s="890"/>
      <c r="N16" s="360">
        <v>60000</v>
      </c>
      <c r="O16" s="360">
        <f t="shared" si="6"/>
        <v>1572000</v>
      </c>
      <c r="P16" s="358" t="s">
        <v>30</v>
      </c>
      <c r="Q16" s="358">
        <f t="shared" si="7"/>
        <v>26.2</v>
      </c>
      <c r="R16" s="358" t="s">
        <v>241</v>
      </c>
      <c r="S16" s="360">
        <v>9500</v>
      </c>
      <c r="T16" s="360">
        <f t="shared" si="8"/>
        <v>248900</v>
      </c>
      <c r="U16" s="360">
        <f t="shared" si="9"/>
        <v>262000</v>
      </c>
      <c r="V16" s="360">
        <f t="shared" si="10"/>
        <v>4716000</v>
      </c>
      <c r="W16" s="360">
        <f t="shared" si="4"/>
        <v>0</v>
      </c>
      <c r="X16" s="361">
        <f t="shared" si="5"/>
        <v>0</v>
      </c>
      <c r="Y16" s="362">
        <f t="shared" si="11"/>
        <v>6798900</v>
      </c>
      <c r="Z16" s="363">
        <f t="shared" si="12"/>
        <v>6798900</v>
      </c>
      <c r="AA16" s="350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</row>
    <row r="17" spans="1:39" s="368" customFormat="1" ht="68.25" customHeight="1" hidden="1">
      <c r="A17" s="346">
        <v>4</v>
      </c>
      <c r="B17" s="377" t="s">
        <v>249</v>
      </c>
      <c r="C17" s="347">
        <v>92</v>
      </c>
      <c r="D17" s="347">
        <v>72</v>
      </c>
      <c r="E17" s="348" t="s">
        <v>238</v>
      </c>
      <c r="F17" s="348" t="s">
        <v>45</v>
      </c>
      <c r="G17" s="355" t="s">
        <v>44</v>
      </c>
      <c r="H17" s="346"/>
      <c r="I17" s="348">
        <v>54.8</v>
      </c>
      <c r="L17" s="358">
        <f t="shared" si="13"/>
        <v>54.8</v>
      </c>
      <c r="M17" s="359">
        <f>L17</f>
        <v>54.8</v>
      </c>
      <c r="N17" s="360">
        <v>60000</v>
      </c>
      <c r="O17" s="360">
        <f t="shared" si="6"/>
        <v>3288000</v>
      </c>
      <c r="P17" s="358" t="s">
        <v>30</v>
      </c>
      <c r="Q17" s="358">
        <f t="shared" si="7"/>
        <v>54.8</v>
      </c>
      <c r="R17" s="358" t="s">
        <v>241</v>
      </c>
      <c r="S17" s="360">
        <v>9500</v>
      </c>
      <c r="T17" s="360">
        <f t="shared" si="8"/>
        <v>520600</v>
      </c>
      <c r="U17" s="360">
        <f t="shared" si="9"/>
        <v>548000</v>
      </c>
      <c r="V17" s="360">
        <f t="shared" si="10"/>
        <v>9864000</v>
      </c>
      <c r="W17" s="360">
        <f t="shared" si="4"/>
        <v>0</v>
      </c>
      <c r="X17" s="361">
        <f t="shared" si="5"/>
        <v>0</v>
      </c>
      <c r="Y17" s="362">
        <f t="shared" si="11"/>
        <v>14220600</v>
      </c>
      <c r="Z17" s="363">
        <f t="shared" si="12"/>
        <v>14220600</v>
      </c>
      <c r="AA17" s="350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</row>
    <row r="18" spans="1:39" s="368" customFormat="1" ht="68.25" customHeight="1" hidden="1">
      <c r="A18" s="346">
        <v>5</v>
      </c>
      <c r="B18" s="377" t="s">
        <v>210</v>
      </c>
      <c r="C18" s="347">
        <v>216</v>
      </c>
      <c r="D18" s="347">
        <v>72</v>
      </c>
      <c r="E18" s="348">
        <v>320</v>
      </c>
      <c r="F18" s="347" t="s">
        <v>45</v>
      </c>
      <c r="G18" s="349" t="s">
        <v>44</v>
      </c>
      <c r="H18" s="348">
        <v>320</v>
      </c>
      <c r="I18" s="348"/>
      <c r="L18" s="358">
        <f t="shared" si="13"/>
        <v>320</v>
      </c>
      <c r="M18" s="889">
        <f>L18+L19</f>
        <v>917.7</v>
      </c>
      <c r="N18" s="360">
        <v>60000</v>
      </c>
      <c r="O18" s="360">
        <f t="shared" si="6"/>
        <v>19200000</v>
      </c>
      <c r="P18" s="358" t="s">
        <v>30</v>
      </c>
      <c r="Q18" s="358">
        <f t="shared" si="7"/>
        <v>320</v>
      </c>
      <c r="R18" s="358" t="s">
        <v>241</v>
      </c>
      <c r="S18" s="360">
        <v>9500</v>
      </c>
      <c r="T18" s="360">
        <f t="shared" si="8"/>
        <v>3040000</v>
      </c>
      <c r="U18" s="360">
        <f t="shared" si="9"/>
        <v>3200000</v>
      </c>
      <c r="V18" s="360">
        <f t="shared" si="10"/>
        <v>57600000</v>
      </c>
      <c r="W18" s="360">
        <f t="shared" si="4"/>
        <v>5</v>
      </c>
      <c r="X18" s="361">
        <f t="shared" si="5"/>
        <v>17500000</v>
      </c>
      <c r="Y18" s="362">
        <f t="shared" si="11"/>
        <v>100540000</v>
      </c>
      <c r="Z18" s="363">
        <f t="shared" si="12"/>
        <v>100540000</v>
      </c>
      <c r="AA18" s="350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</row>
    <row r="19" spans="1:39" s="368" customFormat="1" ht="68.25" customHeight="1" hidden="1">
      <c r="A19" s="346">
        <v>5</v>
      </c>
      <c r="B19" s="377" t="s">
        <v>210</v>
      </c>
      <c r="C19" s="347">
        <v>42</v>
      </c>
      <c r="D19" s="347">
        <v>82</v>
      </c>
      <c r="E19" s="348">
        <v>597.7</v>
      </c>
      <c r="F19" s="347" t="s">
        <v>0</v>
      </c>
      <c r="G19" s="349" t="s">
        <v>235</v>
      </c>
      <c r="H19" s="348">
        <v>597.7</v>
      </c>
      <c r="I19" s="348"/>
      <c r="L19" s="358">
        <f t="shared" si="13"/>
        <v>597.7</v>
      </c>
      <c r="M19" s="890"/>
      <c r="N19" s="360">
        <v>60000</v>
      </c>
      <c r="O19" s="360">
        <f t="shared" si="6"/>
        <v>35862000</v>
      </c>
      <c r="P19" s="358" t="s">
        <v>30</v>
      </c>
      <c r="Q19" s="358">
        <f t="shared" si="7"/>
        <v>597.7</v>
      </c>
      <c r="R19" s="358" t="s">
        <v>241</v>
      </c>
      <c r="S19" s="360">
        <v>9500</v>
      </c>
      <c r="T19" s="360">
        <f t="shared" si="8"/>
        <v>5678150</v>
      </c>
      <c r="U19" s="360">
        <f t="shared" si="9"/>
        <v>5977000</v>
      </c>
      <c r="V19" s="360">
        <f t="shared" si="10"/>
        <v>107586000</v>
      </c>
      <c r="W19" s="360">
        <f t="shared" si="4"/>
        <v>0</v>
      </c>
      <c r="X19" s="361">
        <f t="shared" si="5"/>
        <v>0</v>
      </c>
      <c r="Y19" s="362">
        <f t="shared" si="11"/>
        <v>155103150</v>
      </c>
      <c r="Z19" s="363">
        <f t="shared" si="12"/>
        <v>155103150</v>
      </c>
      <c r="AA19" s="350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</row>
    <row r="20" spans="1:39" s="368" customFormat="1" ht="68.25" customHeight="1" hidden="1">
      <c r="A20" s="346">
        <v>6</v>
      </c>
      <c r="B20" s="377" t="s">
        <v>211</v>
      </c>
      <c r="C20" s="347">
        <v>310</v>
      </c>
      <c r="D20" s="347">
        <v>82</v>
      </c>
      <c r="E20" s="348">
        <v>434.9</v>
      </c>
      <c r="F20" s="347" t="s">
        <v>0</v>
      </c>
      <c r="G20" s="349" t="s">
        <v>236</v>
      </c>
      <c r="H20" s="348">
        <v>432.4</v>
      </c>
      <c r="I20" s="348">
        <v>2.5</v>
      </c>
      <c r="L20" s="358">
        <f t="shared" si="13"/>
        <v>434.9</v>
      </c>
      <c r="M20" s="889">
        <f>L20+L21</f>
        <v>508.5</v>
      </c>
      <c r="N20" s="360">
        <v>60000</v>
      </c>
      <c r="O20" s="360">
        <f t="shared" si="6"/>
        <v>26094000</v>
      </c>
      <c r="P20" s="358" t="s">
        <v>30</v>
      </c>
      <c r="Q20" s="358">
        <f t="shared" si="7"/>
        <v>434.9</v>
      </c>
      <c r="R20" s="358" t="s">
        <v>241</v>
      </c>
      <c r="S20" s="360">
        <v>9500</v>
      </c>
      <c r="T20" s="360">
        <f t="shared" si="8"/>
        <v>4131550</v>
      </c>
      <c r="U20" s="360">
        <f t="shared" si="9"/>
        <v>4349000</v>
      </c>
      <c r="V20" s="360">
        <f t="shared" si="10"/>
        <v>78282000</v>
      </c>
      <c r="W20" s="360">
        <f t="shared" si="4"/>
        <v>2</v>
      </c>
      <c r="X20" s="361">
        <f t="shared" si="5"/>
        <v>7000000</v>
      </c>
      <c r="Y20" s="362">
        <f t="shared" si="11"/>
        <v>119856550</v>
      </c>
      <c r="Z20" s="363">
        <f t="shared" si="12"/>
        <v>119856550</v>
      </c>
      <c r="AA20" s="350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</row>
    <row r="21" spans="1:39" s="368" customFormat="1" ht="68.25" customHeight="1" hidden="1">
      <c r="A21" s="346">
        <v>6</v>
      </c>
      <c r="B21" s="377" t="s">
        <v>211</v>
      </c>
      <c r="C21" s="347">
        <v>56</v>
      </c>
      <c r="D21" s="347">
        <v>72</v>
      </c>
      <c r="E21" s="348">
        <v>73.6</v>
      </c>
      <c r="F21" s="347" t="s">
        <v>45</v>
      </c>
      <c r="G21" s="355" t="s">
        <v>44</v>
      </c>
      <c r="H21" s="346"/>
      <c r="I21" s="348">
        <v>73.6</v>
      </c>
      <c r="L21" s="358">
        <f t="shared" si="13"/>
        <v>73.6</v>
      </c>
      <c r="M21" s="890"/>
      <c r="N21" s="360">
        <v>60000</v>
      </c>
      <c r="O21" s="360">
        <f t="shared" si="6"/>
        <v>4416000</v>
      </c>
      <c r="P21" s="358" t="s">
        <v>30</v>
      </c>
      <c r="Q21" s="358">
        <f t="shared" si="7"/>
        <v>73.6</v>
      </c>
      <c r="R21" s="358" t="s">
        <v>241</v>
      </c>
      <c r="S21" s="360">
        <v>9500</v>
      </c>
      <c r="T21" s="360">
        <f t="shared" si="8"/>
        <v>699200</v>
      </c>
      <c r="U21" s="360">
        <f t="shared" si="9"/>
        <v>736000</v>
      </c>
      <c r="V21" s="360">
        <f t="shared" si="10"/>
        <v>13248000</v>
      </c>
      <c r="W21" s="360">
        <f t="shared" si="4"/>
        <v>0</v>
      </c>
      <c r="X21" s="361">
        <f t="shared" si="5"/>
        <v>0</v>
      </c>
      <c r="Y21" s="362">
        <f t="shared" si="11"/>
        <v>19099200</v>
      </c>
      <c r="Z21" s="363">
        <f t="shared" si="12"/>
        <v>19099200</v>
      </c>
      <c r="AA21" s="350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</row>
    <row r="22" spans="1:39" s="368" customFormat="1" ht="68.25" customHeight="1" hidden="1">
      <c r="A22" s="346">
        <v>7</v>
      </c>
      <c r="B22" s="377" t="s">
        <v>250</v>
      </c>
      <c r="C22" s="347">
        <v>89</v>
      </c>
      <c r="D22" s="347">
        <v>71</v>
      </c>
      <c r="E22" s="348">
        <v>701.8</v>
      </c>
      <c r="F22" s="347" t="s">
        <v>0</v>
      </c>
      <c r="G22" s="385" t="s">
        <v>32</v>
      </c>
      <c r="H22" s="386"/>
      <c r="I22" s="387">
        <v>701.8</v>
      </c>
      <c r="J22" s="388"/>
      <c r="K22" s="388"/>
      <c r="L22" s="389">
        <f t="shared" si="13"/>
        <v>701.8</v>
      </c>
      <c r="M22" s="886">
        <f>L22+L23+L24+L25</f>
        <v>1448.1999999999998</v>
      </c>
      <c r="N22" s="390">
        <v>60000</v>
      </c>
      <c r="O22" s="390">
        <f t="shared" si="6"/>
        <v>42108000</v>
      </c>
      <c r="P22" s="389" t="s">
        <v>30</v>
      </c>
      <c r="Q22" s="389">
        <f t="shared" si="7"/>
        <v>701.8</v>
      </c>
      <c r="R22" s="389" t="s">
        <v>243</v>
      </c>
      <c r="S22" s="390">
        <v>9500</v>
      </c>
      <c r="T22" s="390">
        <f t="shared" si="8"/>
        <v>6667100</v>
      </c>
      <c r="U22" s="390">
        <f t="shared" si="9"/>
        <v>7018000</v>
      </c>
      <c r="V22" s="390">
        <f t="shared" si="10"/>
        <v>126324000</v>
      </c>
      <c r="W22" s="390">
        <f t="shared" si="4"/>
        <v>8</v>
      </c>
      <c r="X22" s="361">
        <f t="shared" si="5"/>
        <v>28000000</v>
      </c>
      <c r="Y22" s="362">
        <f t="shared" si="11"/>
        <v>210117100</v>
      </c>
      <c r="Z22" s="363">
        <f t="shared" si="12"/>
        <v>210117100</v>
      </c>
      <c r="AA22" s="350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</row>
    <row r="23" spans="1:39" s="368" customFormat="1" ht="68.25" customHeight="1" hidden="1">
      <c r="A23" s="346">
        <v>7</v>
      </c>
      <c r="B23" s="377" t="s">
        <v>250</v>
      </c>
      <c r="C23" s="347">
        <v>36</v>
      </c>
      <c r="D23" s="347">
        <v>81</v>
      </c>
      <c r="E23" s="348">
        <v>624.3</v>
      </c>
      <c r="F23" s="347" t="s">
        <v>0</v>
      </c>
      <c r="G23" s="385" t="s">
        <v>37</v>
      </c>
      <c r="H23" s="386"/>
      <c r="I23" s="387">
        <v>624.3</v>
      </c>
      <c r="J23" s="388"/>
      <c r="K23" s="388"/>
      <c r="L23" s="389">
        <f t="shared" si="13"/>
        <v>624.3</v>
      </c>
      <c r="M23" s="887"/>
      <c r="N23" s="390">
        <v>60000</v>
      </c>
      <c r="O23" s="390">
        <f t="shared" si="6"/>
        <v>37458000</v>
      </c>
      <c r="P23" s="389" t="s">
        <v>30</v>
      </c>
      <c r="Q23" s="389">
        <f t="shared" si="7"/>
        <v>624.3</v>
      </c>
      <c r="R23" s="389" t="s">
        <v>243</v>
      </c>
      <c r="S23" s="390">
        <v>9500</v>
      </c>
      <c r="T23" s="390">
        <f t="shared" si="8"/>
        <v>5930850</v>
      </c>
      <c r="U23" s="390">
        <f t="shared" si="9"/>
        <v>6243000</v>
      </c>
      <c r="V23" s="390">
        <f t="shared" si="10"/>
        <v>112374000</v>
      </c>
      <c r="W23" s="390">
        <f t="shared" si="4"/>
        <v>0</v>
      </c>
      <c r="X23" s="361">
        <f t="shared" si="5"/>
        <v>0</v>
      </c>
      <c r="Y23" s="362">
        <f t="shared" si="11"/>
        <v>162005850</v>
      </c>
      <c r="Z23" s="363">
        <f t="shared" si="12"/>
        <v>162005850</v>
      </c>
      <c r="AA23" s="350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</row>
    <row r="24" spans="1:39" s="368" customFormat="1" ht="68.25" customHeight="1" hidden="1">
      <c r="A24" s="346">
        <v>7</v>
      </c>
      <c r="B24" s="377" t="s">
        <v>250</v>
      </c>
      <c r="C24" s="347">
        <v>32</v>
      </c>
      <c r="D24" s="347">
        <v>71</v>
      </c>
      <c r="E24" s="348">
        <v>83.8</v>
      </c>
      <c r="F24" s="347" t="s">
        <v>0</v>
      </c>
      <c r="G24" s="385" t="s">
        <v>43</v>
      </c>
      <c r="H24" s="386"/>
      <c r="I24" s="387">
        <v>83.8</v>
      </c>
      <c r="J24" s="388"/>
      <c r="K24" s="388"/>
      <c r="L24" s="389">
        <f t="shared" si="13"/>
        <v>83.8</v>
      </c>
      <c r="M24" s="887"/>
      <c r="N24" s="390">
        <v>60000</v>
      </c>
      <c r="O24" s="390">
        <f t="shared" si="6"/>
        <v>5028000</v>
      </c>
      <c r="P24" s="389" t="s">
        <v>30</v>
      </c>
      <c r="Q24" s="389">
        <f t="shared" si="7"/>
        <v>83.8</v>
      </c>
      <c r="R24" s="389" t="s">
        <v>243</v>
      </c>
      <c r="S24" s="390">
        <v>9500</v>
      </c>
      <c r="T24" s="390">
        <f t="shared" si="8"/>
        <v>796100</v>
      </c>
      <c r="U24" s="390">
        <f t="shared" si="9"/>
        <v>838000</v>
      </c>
      <c r="V24" s="390">
        <f t="shared" si="10"/>
        <v>15084000</v>
      </c>
      <c r="W24" s="390">
        <f t="shared" si="4"/>
        <v>0</v>
      </c>
      <c r="X24" s="361">
        <f t="shared" si="5"/>
        <v>0</v>
      </c>
      <c r="Y24" s="362">
        <f t="shared" si="11"/>
        <v>21746100</v>
      </c>
      <c r="Z24" s="363">
        <f t="shared" si="12"/>
        <v>21746100</v>
      </c>
      <c r="AA24" s="350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</row>
    <row r="25" spans="1:39" s="368" customFormat="1" ht="68.25" customHeight="1" hidden="1">
      <c r="A25" s="346">
        <v>7</v>
      </c>
      <c r="B25" s="377" t="s">
        <v>250</v>
      </c>
      <c r="C25" s="347">
        <v>90</v>
      </c>
      <c r="D25" s="347">
        <v>72</v>
      </c>
      <c r="E25" s="348">
        <v>38.3</v>
      </c>
      <c r="F25" s="347" t="s">
        <v>45</v>
      </c>
      <c r="G25" s="385" t="s">
        <v>44</v>
      </c>
      <c r="H25" s="386"/>
      <c r="I25" s="387">
        <v>38.3</v>
      </c>
      <c r="J25" s="388"/>
      <c r="K25" s="388"/>
      <c r="L25" s="389">
        <f t="shared" si="13"/>
        <v>38.3</v>
      </c>
      <c r="M25" s="888"/>
      <c r="N25" s="390">
        <v>60000</v>
      </c>
      <c r="O25" s="390">
        <f t="shared" si="6"/>
        <v>2298000</v>
      </c>
      <c r="P25" s="389" t="s">
        <v>30</v>
      </c>
      <c r="Q25" s="389">
        <f t="shared" si="7"/>
        <v>38.3</v>
      </c>
      <c r="R25" s="389" t="s">
        <v>243</v>
      </c>
      <c r="S25" s="390">
        <v>9500</v>
      </c>
      <c r="T25" s="390">
        <f t="shared" si="8"/>
        <v>363850</v>
      </c>
      <c r="U25" s="390">
        <f t="shared" si="9"/>
        <v>383000</v>
      </c>
      <c r="V25" s="390">
        <f t="shared" si="10"/>
        <v>6894000</v>
      </c>
      <c r="W25" s="390">
        <f t="shared" si="4"/>
        <v>0</v>
      </c>
      <c r="X25" s="361">
        <f t="shared" si="5"/>
        <v>0</v>
      </c>
      <c r="Y25" s="362">
        <f t="shared" si="11"/>
        <v>9938850</v>
      </c>
      <c r="Z25" s="363">
        <f t="shared" si="12"/>
        <v>9938850</v>
      </c>
      <c r="AA25" s="350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</row>
    <row r="26" spans="1:39" s="368" customFormat="1" ht="68.25" customHeight="1" hidden="1">
      <c r="A26" s="346">
        <v>8</v>
      </c>
      <c r="B26" s="377" t="s">
        <v>212</v>
      </c>
      <c r="C26" s="347">
        <v>61</v>
      </c>
      <c r="D26" s="347">
        <v>81</v>
      </c>
      <c r="E26" s="348">
        <v>273.1</v>
      </c>
      <c r="F26" s="347" t="s">
        <v>0</v>
      </c>
      <c r="G26" s="357" t="s">
        <v>37</v>
      </c>
      <c r="H26" s="387">
        <v>254.4</v>
      </c>
      <c r="I26" s="387">
        <v>18.700000000000017</v>
      </c>
      <c r="J26" s="388"/>
      <c r="K26" s="388"/>
      <c r="L26" s="389">
        <f t="shared" si="13"/>
        <v>273.1</v>
      </c>
      <c r="M26" s="886">
        <f>L26+L27</f>
        <v>474.40000000000003</v>
      </c>
      <c r="N26" s="390">
        <v>60000</v>
      </c>
      <c r="O26" s="390">
        <f t="shared" si="6"/>
        <v>16386000.000000002</v>
      </c>
      <c r="P26" s="389" t="s">
        <v>30</v>
      </c>
      <c r="Q26" s="389">
        <f t="shared" si="7"/>
        <v>273.1</v>
      </c>
      <c r="R26" s="389" t="s">
        <v>243</v>
      </c>
      <c r="S26" s="390">
        <v>9500</v>
      </c>
      <c r="T26" s="390">
        <f t="shared" si="8"/>
        <v>2594450</v>
      </c>
      <c r="U26" s="390">
        <f t="shared" si="9"/>
        <v>2731000</v>
      </c>
      <c r="V26" s="390">
        <f t="shared" si="10"/>
        <v>49158000.00000001</v>
      </c>
      <c r="W26" s="390">
        <f t="shared" si="4"/>
        <v>2</v>
      </c>
      <c r="X26" s="361">
        <f t="shared" si="5"/>
        <v>7000000</v>
      </c>
      <c r="Y26" s="362">
        <f t="shared" si="11"/>
        <v>77869450</v>
      </c>
      <c r="Z26" s="363">
        <f t="shared" si="12"/>
        <v>77869450</v>
      </c>
      <c r="AA26" s="350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</row>
    <row r="27" spans="1:39" s="368" customFormat="1" ht="68.25" customHeight="1" hidden="1">
      <c r="A27" s="346">
        <v>8</v>
      </c>
      <c r="B27" s="377" t="s">
        <v>212</v>
      </c>
      <c r="C27" s="347">
        <v>72</v>
      </c>
      <c r="D27" s="347">
        <v>88</v>
      </c>
      <c r="E27" s="348">
        <v>220.3</v>
      </c>
      <c r="F27" s="347" t="s">
        <v>45</v>
      </c>
      <c r="G27" s="357" t="s">
        <v>44</v>
      </c>
      <c r="H27" s="387">
        <v>201.3</v>
      </c>
      <c r="I27" s="387"/>
      <c r="J27" s="388"/>
      <c r="K27" s="388"/>
      <c r="L27" s="389">
        <f t="shared" si="13"/>
        <v>201.3</v>
      </c>
      <c r="M27" s="888"/>
      <c r="N27" s="390">
        <v>60000</v>
      </c>
      <c r="O27" s="390">
        <f t="shared" si="6"/>
        <v>12078000</v>
      </c>
      <c r="P27" s="389" t="s">
        <v>30</v>
      </c>
      <c r="Q27" s="389">
        <f t="shared" si="7"/>
        <v>201.3</v>
      </c>
      <c r="R27" s="389" t="s">
        <v>243</v>
      </c>
      <c r="S27" s="390">
        <v>9500</v>
      </c>
      <c r="T27" s="390">
        <f t="shared" si="8"/>
        <v>1912350</v>
      </c>
      <c r="U27" s="390">
        <f t="shared" si="9"/>
        <v>2013000</v>
      </c>
      <c r="V27" s="390">
        <f t="shared" si="10"/>
        <v>36234000</v>
      </c>
      <c r="W27" s="390">
        <f t="shared" si="4"/>
        <v>0</v>
      </c>
      <c r="X27" s="361">
        <f t="shared" si="5"/>
        <v>0</v>
      </c>
      <c r="Y27" s="362">
        <f t="shared" si="11"/>
        <v>52237350</v>
      </c>
      <c r="Z27" s="363">
        <f t="shared" si="12"/>
        <v>52237350</v>
      </c>
      <c r="AA27" s="350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</row>
    <row r="28" spans="1:39" s="368" customFormat="1" ht="68.25" customHeight="1" hidden="1">
      <c r="A28" s="347">
        <v>9</v>
      </c>
      <c r="B28" s="379" t="s">
        <v>213</v>
      </c>
      <c r="C28" s="347">
        <v>64</v>
      </c>
      <c r="D28" s="347">
        <v>71</v>
      </c>
      <c r="E28" s="348">
        <v>96.4</v>
      </c>
      <c r="F28" s="347" t="s">
        <v>0</v>
      </c>
      <c r="G28" s="391" t="s">
        <v>37</v>
      </c>
      <c r="H28" s="386"/>
      <c r="I28" s="387">
        <v>81.9</v>
      </c>
      <c r="J28" s="388"/>
      <c r="K28" s="388"/>
      <c r="L28" s="389">
        <f t="shared" si="13"/>
        <v>81.9</v>
      </c>
      <c r="M28" s="399">
        <f>L28</f>
        <v>81.9</v>
      </c>
      <c r="N28" s="390">
        <v>60000</v>
      </c>
      <c r="O28" s="390">
        <f t="shared" si="6"/>
        <v>4914000</v>
      </c>
      <c r="P28" s="389" t="s">
        <v>30</v>
      </c>
      <c r="Q28" s="389">
        <f t="shared" si="7"/>
        <v>81.9</v>
      </c>
      <c r="R28" s="389" t="s">
        <v>243</v>
      </c>
      <c r="S28" s="390">
        <v>9500</v>
      </c>
      <c r="T28" s="390">
        <f t="shared" si="8"/>
        <v>778050</v>
      </c>
      <c r="U28" s="390">
        <f t="shared" si="9"/>
        <v>819000</v>
      </c>
      <c r="V28" s="390">
        <f t="shared" si="10"/>
        <v>14742000</v>
      </c>
      <c r="W28" s="390">
        <f t="shared" si="4"/>
        <v>0</v>
      </c>
      <c r="X28" s="361">
        <f t="shared" si="5"/>
        <v>0</v>
      </c>
      <c r="Y28" s="362">
        <f t="shared" si="11"/>
        <v>21253050</v>
      </c>
      <c r="Z28" s="363">
        <f t="shared" si="12"/>
        <v>21253050</v>
      </c>
      <c r="AA28" s="350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</row>
    <row r="29" spans="1:39" s="368" customFormat="1" ht="68.25" customHeight="1" hidden="1">
      <c r="A29" s="347">
        <v>10</v>
      </c>
      <c r="B29" s="380" t="s">
        <v>214</v>
      </c>
      <c r="C29" s="347">
        <v>78</v>
      </c>
      <c r="D29" s="347">
        <v>82</v>
      </c>
      <c r="E29" s="348">
        <v>347.7</v>
      </c>
      <c r="F29" s="347" t="s">
        <v>0</v>
      </c>
      <c r="G29" s="357" t="s">
        <v>235</v>
      </c>
      <c r="H29" s="387">
        <v>318.4</v>
      </c>
      <c r="I29" s="387">
        <v>29.30000000000001</v>
      </c>
      <c r="J29" s="388"/>
      <c r="K29" s="388"/>
      <c r="L29" s="389">
        <f t="shared" si="13"/>
        <v>347.7</v>
      </c>
      <c r="M29" s="399">
        <f>L29</f>
        <v>347.7</v>
      </c>
      <c r="N29" s="390">
        <v>60000</v>
      </c>
      <c r="O29" s="390">
        <f t="shared" si="6"/>
        <v>20862000</v>
      </c>
      <c r="P29" s="389" t="s">
        <v>30</v>
      </c>
      <c r="Q29" s="389">
        <f t="shared" si="7"/>
        <v>347.7</v>
      </c>
      <c r="R29" s="389" t="s">
        <v>243</v>
      </c>
      <c r="S29" s="390">
        <v>9500</v>
      </c>
      <c r="T29" s="390">
        <f t="shared" si="8"/>
        <v>3303150</v>
      </c>
      <c r="U29" s="390">
        <f t="shared" si="9"/>
        <v>3477000</v>
      </c>
      <c r="V29" s="390">
        <f t="shared" si="10"/>
        <v>62586000</v>
      </c>
      <c r="W29" s="390">
        <f t="shared" si="4"/>
        <v>1</v>
      </c>
      <c r="X29" s="361">
        <f t="shared" si="5"/>
        <v>3500000</v>
      </c>
      <c r="Y29" s="362">
        <f t="shared" si="11"/>
        <v>93728150</v>
      </c>
      <c r="Z29" s="363">
        <f t="shared" si="12"/>
        <v>93728150</v>
      </c>
      <c r="AA29" s="350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</row>
    <row r="30" spans="1:39" s="368" customFormat="1" ht="68.25" customHeight="1" hidden="1">
      <c r="A30" s="347">
        <v>11</v>
      </c>
      <c r="B30" s="379" t="s">
        <v>215</v>
      </c>
      <c r="C30" s="347">
        <v>6</v>
      </c>
      <c r="D30" s="347">
        <v>71</v>
      </c>
      <c r="E30" s="348">
        <v>114.1</v>
      </c>
      <c r="F30" s="347" t="s">
        <v>0</v>
      </c>
      <c r="G30" s="391" t="s">
        <v>43</v>
      </c>
      <c r="H30" s="393"/>
      <c r="I30" s="387">
        <v>114.1</v>
      </c>
      <c r="J30" s="388"/>
      <c r="K30" s="388"/>
      <c r="L30" s="389">
        <f t="shared" si="13"/>
        <v>114.1</v>
      </c>
      <c r="M30" s="399">
        <f>L30</f>
        <v>114.1</v>
      </c>
      <c r="N30" s="390">
        <v>60000</v>
      </c>
      <c r="O30" s="390">
        <f t="shared" si="6"/>
        <v>6846000</v>
      </c>
      <c r="P30" s="389" t="s">
        <v>30</v>
      </c>
      <c r="Q30" s="389">
        <f t="shared" si="7"/>
        <v>114.1</v>
      </c>
      <c r="R30" s="389" t="s">
        <v>243</v>
      </c>
      <c r="S30" s="390">
        <v>9500</v>
      </c>
      <c r="T30" s="390">
        <f t="shared" si="8"/>
        <v>1083950</v>
      </c>
      <c r="U30" s="390">
        <f t="shared" si="9"/>
        <v>1141000</v>
      </c>
      <c r="V30" s="390">
        <f t="shared" si="10"/>
        <v>20538000</v>
      </c>
      <c r="W30" s="390">
        <f t="shared" si="4"/>
        <v>0</v>
      </c>
      <c r="X30" s="361">
        <f t="shared" si="5"/>
        <v>0</v>
      </c>
      <c r="Y30" s="362">
        <f t="shared" si="11"/>
        <v>29608950</v>
      </c>
      <c r="Z30" s="363">
        <f t="shared" si="12"/>
        <v>29608950</v>
      </c>
      <c r="AA30" s="350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</row>
    <row r="31" spans="1:39" s="368" customFormat="1" ht="68.25" customHeight="1" hidden="1">
      <c r="A31" s="347">
        <v>12</v>
      </c>
      <c r="B31" s="379" t="s">
        <v>217</v>
      </c>
      <c r="C31" s="347">
        <v>15</v>
      </c>
      <c r="D31" s="347">
        <v>71</v>
      </c>
      <c r="E31" s="348">
        <v>133.5</v>
      </c>
      <c r="F31" s="347" t="s">
        <v>45</v>
      </c>
      <c r="G31" s="391" t="s">
        <v>43</v>
      </c>
      <c r="H31" s="393"/>
      <c r="I31" s="387">
        <v>133.5</v>
      </c>
      <c r="J31" s="388"/>
      <c r="K31" s="388"/>
      <c r="L31" s="389">
        <f t="shared" si="13"/>
        <v>133.5</v>
      </c>
      <c r="M31" s="886">
        <f>L31+L32+L33+L34</f>
        <v>1592.3</v>
      </c>
      <c r="N31" s="390">
        <v>60000</v>
      </c>
      <c r="O31" s="390">
        <f t="shared" si="6"/>
        <v>8010000</v>
      </c>
      <c r="P31" s="389" t="s">
        <v>30</v>
      </c>
      <c r="Q31" s="389">
        <f t="shared" si="7"/>
        <v>133.5</v>
      </c>
      <c r="R31" s="389" t="s">
        <v>243</v>
      </c>
      <c r="S31" s="390">
        <v>9500</v>
      </c>
      <c r="T31" s="390">
        <f t="shared" si="8"/>
        <v>1268250</v>
      </c>
      <c r="U31" s="390">
        <f t="shared" si="9"/>
        <v>1335000</v>
      </c>
      <c r="V31" s="390">
        <f t="shared" si="10"/>
        <v>24030000</v>
      </c>
      <c r="W31" s="390">
        <f t="shared" si="4"/>
        <v>9</v>
      </c>
      <c r="X31" s="361">
        <f t="shared" si="5"/>
        <v>31500000</v>
      </c>
      <c r="Y31" s="362">
        <f t="shared" si="11"/>
        <v>66143250</v>
      </c>
      <c r="Z31" s="363">
        <f t="shared" si="12"/>
        <v>66143250</v>
      </c>
      <c r="AA31" s="350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</row>
    <row r="32" spans="1:39" s="368" customFormat="1" ht="68.25" customHeight="1" hidden="1">
      <c r="A32" s="347">
        <v>12</v>
      </c>
      <c r="B32" s="379" t="s">
        <v>217</v>
      </c>
      <c r="C32" s="347">
        <v>159</v>
      </c>
      <c r="D32" s="347">
        <v>72</v>
      </c>
      <c r="E32" s="348">
        <v>228.7</v>
      </c>
      <c r="F32" s="347" t="s">
        <v>45</v>
      </c>
      <c r="G32" s="391" t="s">
        <v>44</v>
      </c>
      <c r="H32" s="393"/>
      <c r="I32" s="387">
        <v>228.7</v>
      </c>
      <c r="J32" s="388"/>
      <c r="K32" s="388"/>
      <c r="L32" s="389">
        <f t="shared" si="13"/>
        <v>228.7</v>
      </c>
      <c r="M32" s="887"/>
      <c r="N32" s="390">
        <v>60000</v>
      </c>
      <c r="O32" s="390">
        <f t="shared" si="6"/>
        <v>13722000</v>
      </c>
      <c r="P32" s="389" t="s">
        <v>30</v>
      </c>
      <c r="Q32" s="389">
        <f t="shared" si="7"/>
        <v>228.7</v>
      </c>
      <c r="R32" s="389" t="s">
        <v>243</v>
      </c>
      <c r="S32" s="390">
        <v>9500</v>
      </c>
      <c r="T32" s="390">
        <f t="shared" si="8"/>
        <v>2172650</v>
      </c>
      <c r="U32" s="390">
        <f t="shared" si="9"/>
        <v>2287000</v>
      </c>
      <c r="V32" s="390">
        <f t="shared" si="10"/>
        <v>41166000</v>
      </c>
      <c r="W32" s="390">
        <f t="shared" si="4"/>
        <v>0</v>
      </c>
      <c r="X32" s="361">
        <f t="shared" si="5"/>
        <v>0</v>
      </c>
      <c r="Y32" s="362">
        <f t="shared" si="11"/>
        <v>59347650</v>
      </c>
      <c r="Z32" s="363">
        <f t="shared" si="12"/>
        <v>59347650</v>
      </c>
      <c r="AA32" s="350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</row>
    <row r="33" spans="1:39" s="368" customFormat="1" ht="68.25" customHeight="1" hidden="1">
      <c r="A33" s="347">
        <v>12</v>
      </c>
      <c r="B33" s="379" t="s">
        <v>217</v>
      </c>
      <c r="C33" s="347">
        <v>222</v>
      </c>
      <c r="D33" s="347">
        <v>72</v>
      </c>
      <c r="E33" s="348">
        <v>273.5</v>
      </c>
      <c r="F33" s="347" t="s">
        <v>0</v>
      </c>
      <c r="G33" s="391" t="s">
        <v>44</v>
      </c>
      <c r="H33" s="393"/>
      <c r="I33" s="387">
        <v>224.8</v>
      </c>
      <c r="J33" s="388"/>
      <c r="K33" s="388"/>
      <c r="L33" s="389">
        <f t="shared" si="13"/>
        <v>224.8</v>
      </c>
      <c r="M33" s="887"/>
      <c r="N33" s="390">
        <v>60000</v>
      </c>
      <c r="O33" s="390">
        <f t="shared" si="6"/>
        <v>13488000</v>
      </c>
      <c r="P33" s="389" t="s">
        <v>30</v>
      </c>
      <c r="Q33" s="389">
        <f t="shared" si="7"/>
        <v>224.8</v>
      </c>
      <c r="R33" s="389" t="s">
        <v>243</v>
      </c>
      <c r="S33" s="390">
        <v>9500</v>
      </c>
      <c r="T33" s="390">
        <f t="shared" si="8"/>
        <v>2135600</v>
      </c>
      <c r="U33" s="390">
        <f t="shared" si="9"/>
        <v>2248000</v>
      </c>
      <c r="V33" s="390">
        <f t="shared" si="10"/>
        <v>40464000</v>
      </c>
      <c r="W33" s="390">
        <f t="shared" si="4"/>
        <v>0</v>
      </c>
      <c r="X33" s="361">
        <f t="shared" si="5"/>
        <v>0</v>
      </c>
      <c r="Y33" s="362">
        <f t="shared" si="11"/>
        <v>58335600</v>
      </c>
      <c r="Z33" s="363">
        <f t="shared" si="12"/>
        <v>58335600</v>
      </c>
      <c r="AA33" s="350" t="s">
        <v>244</v>
      </c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</row>
    <row r="34" spans="1:39" s="368" customFormat="1" ht="68.25" customHeight="1" hidden="1">
      <c r="A34" s="347">
        <v>12</v>
      </c>
      <c r="B34" s="379" t="s">
        <v>217</v>
      </c>
      <c r="C34" s="347">
        <v>48</v>
      </c>
      <c r="D34" s="347">
        <v>81</v>
      </c>
      <c r="E34" s="348">
        <v>1005.3</v>
      </c>
      <c r="F34" s="347" t="s">
        <v>0</v>
      </c>
      <c r="G34" s="391" t="s">
        <v>37</v>
      </c>
      <c r="H34" s="393"/>
      <c r="I34" s="387">
        <v>1005.3</v>
      </c>
      <c r="J34" s="388"/>
      <c r="K34" s="388"/>
      <c r="L34" s="389">
        <f t="shared" si="13"/>
        <v>1005.3</v>
      </c>
      <c r="M34" s="888"/>
      <c r="N34" s="390">
        <v>60000</v>
      </c>
      <c r="O34" s="390">
        <f t="shared" si="6"/>
        <v>60318000</v>
      </c>
      <c r="P34" s="389" t="s">
        <v>30</v>
      </c>
      <c r="Q34" s="389">
        <f t="shared" si="7"/>
        <v>1005.3</v>
      </c>
      <c r="R34" s="389" t="s">
        <v>243</v>
      </c>
      <c r="S34" s="390">
        <v>9500</v>
      </c>
      <c r="T34" s="390">
        <f t="shared" si="8"/>
        <v>9550350</v>
      </c>
      <c r="U34" s="390">
        <f t="shared" si="9"/>
        <v>10053000</v>
      </c>
      <c r="V34" s="390">
        <f t="shared" si="10"/>
        <v>180954000</v>
      </c>
      <c r="W34" s="390">
        <f t="shared" si="4"/>
        <v>0</v>
      </c>
      <c r="X34" s="361">
        <f t="shared" si="5"/>
        <v>0</v>
      </c>
      <c r="Y34" s="362">
        <f t="shared" si="11"/>
        <v>260875350</v>
      </c>
      <c r="Z34" s="363">
        <f t="shared" si="12"/>
        <v>260875350</v>
      </c>
      <c r="AA34" s="350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</row>
    <row r="35" spans="1:39" s="368" customFormat="1" ht="68.25" customHeight="1" hidden="1">
      <c r="A35" s="350">
        <v>13</v>
      </c>
      <c r="B35" s="378" t="s">
        <v>218</v>
      </c>
      <c r="C35" s="350">
        <v>53</v>
      </c>
      <c r="D35" s="350">
        <v>81</v>
      </c>
      <c r="E35" s="350">
        <v>462.6</v>
      </c>
      <c r="F35" s="347" t="s">
        <v>0</v>
      </c>
      <c r="G35" s="357" t="s">
        <v>237</v>
      </c>
      <c r="H35" s="387">
        <v>462.6</v>
      </c>
      <c r="I35" s="387"/>
      <c r="J35" s="388"/>
      <c r="K35" s="388"/>
      <c r="L35" s="389">
        <f t="shared" si="13"/>
        <v>462.6</v>
      </c>
      <c r="M35" s="399">
        <f>L35</f>
        <v>462.6</v>
      </c>
      <c r="N35" s="390">
        <v>60000</v>
      </c>
      <c r="O35" s="390">
        <f t="shared" si="6"/>
        <v>27756000</v>
      </c>
      <c r="P35" s="389" t="s">
        <v>30</v>
      </c>
      <c r="Q35" s="389">
        <f t="shared" si="7"/>
        <v>462.6</v>
      </c>
      <c r="R35" s="389" t="s">
        <v>243</v>
      </c>
      <c r="S35" s="390">
        <v>9500</v>
      </c>
      <c r="T35" s="390">
        <f t="shared" si="8"/>
        <v>4394700</v>
      </c>
      <c r="U35" s="390">
        <f t="shared" si="9"/>
        <v>4626000</v>
      </c>
      <c r="V35" s="390">
        <f t="shared" si="10"/>
        <v>83268000</v>
      </c>
      <c r="W35" s="390">
        <f t="shared" si="4"/>
        <v>2</v>
      </c>
      <c r="X35" s="361">
        <f t="shared" si="5"/>
        <v>7000000</v>
      </c>
      <c r="Y35" s="362">
        <f t="shared" si="11"/>
        <v>127044700</v>
      </c>
      <c r="Z35" s="363">
        <f t="shared" si="12"/>
        <v>127044700</v>
      </c>
      <c r="AA35" s="350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</row>
    <row r="36" spans="1:39" s="368" customFormat="1" ht="68.25" customHeight="1" hidden="1">
      <c r="A36" s="350">
        <v>14</v>
      </c>
      <c r="B36" s="378" t="s">
        <v>219</v>
      </c>
      <c r="C36" s="350">
        <v>52</v>
      </c>
      <c r="D36" s="350">
        <v>81</v>
      </c>
      <c r="E36" s="350">
        <v>419</v>
      </c>
      <c r="F36" s="347" t="s">
        <v>0</v>
      </c>
      <c r="G36" s="357" t="s">
        <v>237</v>
      </c>
      <c r="H36" s="387">
        <v>419</v>
      </c>
      <c r="I36" s="387"/>
      <c r="J36" s="388"/>
      <c r="K36" s="388"/>
      <c r="L36" s="389">
        <f t="shared" si="13"/>
        <v>419</v>
      </c>
      <c r="M36" s="399">
        <f>L36</f>
        <v>419</v>
      </c>
      <c r="N36" s="390">
        <v>60000</v>
      </c>
      <c r="O36" s="390">
        <f t="shared" si="6"/>
        <v>25140000</v>
      </c>
      <c r="P36" s="389" t="s">
        <v>30</v>
      </c>
      <c r="Q36" s="389">
        <f t="shared" si="7"/>
        <v>419</v>
      </c>
      <c r="R36" s="389" t="s">
        <v>243</v>
      </c>
      <c r="S36" s="390">
        <v>9500</v>
      </c>
      <c r="T36" s="390">
        <f t="shared" si="8"/>
        <v>3980500</v>
      </c>
      <c r="U36" s="390">
        <f t="shared" si="9"/>
        <v>4190000</v>
      </c>
      <c r="V36" s="390">
        <f t="shared" si="10"/>
        <v>75420000</v>
      </c>
      <c r="W36" s="390">
        <f t="shared" si="4"/>
        <v>2</v>
      </c>
      <c r="X36" s="361">
        <f t="shared" si="5"/>
        <v>7000000</v>
      </c>
      <c r="Y36" s="362">
        <f t="shared" si="11"/>
        <v>115730500</v>
      </c>
      <c r="Z36" s="363">
        <f t="shared" si="12"/>
        <v>115730500</v>
      </c>
      <c r="AA36" s="350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</row>
    <row r="37" spans="1:39" s="368" customFormat="1" ht="68.25" customHeight="1" hidden="1">
      <c r="A37" s="350">
        <v>15</v>
      </c>
      <c r="B37" s="378" t="s">
        <v>220</v>
      </c>
      <c r="C37" s="350">
        <v>83</v>
      </c>
      <c r="D37" s="350">
        <v>82</v>
      </c>
      <c r="E37" s="350">
        <v>936.2</v>
      </c>
      <c r="F37" s="347" t="s">
        <v>0</v>
      </c>
      <c r="G37" s="357" t="s">
        <v>236</v>
      </c>
      <c r="H37" s="393"/>
      <c r="I37" s="387">
        <v>936.2</v>
      </c>
      <c r="J37" s="388"/>
      <c r="K37" s="388"/>
      <c r="L37" s="389">
        <f t="shared" si="13"/>
        <v>936.2</v>
      </c>
      <c r="M37" s="399">
        <f>L37</f>
        <v>936.2</v>
      </c>
      <c r="N37" s="390">
        <v>60000</v>
      </c>
      <c r="O37" s="390">
        <f t="shared" si="6"/>
        <v>56172000</v>
      </c>
      <c r="P37" s="389" t="s">
        <v>30</v>
      </c>
      <c r="Q37" s="389">
        <f t="shared" si="7"/>
        <v>936.2</v>
      </c>
      <c r="R37" s="389" t="s">
        <v>243</v>
      </c>
      <c r="S37" s="390">
        <v>9500</v>
      </c>
      <c r="T37" s="390">
        <f t="shared" si="8"/>
        <v>8893900</v>
      </c>
      <c r="U37" s="390">
        <f t="shared" si="9"/>
        <v>9362000</v>
      </c>
      <c r="V37" s="390">
        <f t="shared" si="10"/>
        <v>168516000</v>
      </c>
      <c r="W37" s="390">
        <f t="shared" si="4"/>
        <v>5</v>
      </c>
      <c r="X37" s="361">
        <f t="shared" si="5"/>
        <v>17500000</v>
      </c>
      <c r="Y37" s="362">
        <f t="shared" si="11"/>
        <v>260443900</v>
      </c>
      <c r="Z37" s="363">
        <f t="shared" si="12"/>
        <v>260443900</v>
      </c>
      <c r="AA37" s="350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</row>
    <row r="38" spans="1:39" s="368" customFormat="1" ht="68.25" customHeight="1" hidden="1">
      <c r="A38" s="350">
        <v>16</v>
      </c>
      <c r="B38" s="378" t="s">
        <v>221</v>
      </c>
      <c r="C38" s="350">
        <v>213</v>
      </c>
      <c r="D38" s="350">
        <v>72</v>
      </c>
      <c r="E38" s="350">
        <v>328.1</v>
      </c>
      <c r="F38" s="347" t="s">
        <v>45</v>
      </c>
      <c r="G38" s="357" t="s">
        <v>44</v>
      </c>
      <c r="H38" s="387"/>
      <c r="I38" s="387">
        <v>110.7</v>
      </c>
      <c r="J38" s="388"/>
      <c r="K38" s="388"/>
      <c r="L38" s="389">
        <f t="shared" si="13"/>
        <v>110.7</v>
      </c>
      <c r="M38" s="399">
        <f>L38</f>
        <v>110.7</v>
      </c>
      <c r="N38" s="390">
        <v>60000</v>
      </c>
      <c r="O38" s="390">
        <f t="shared" si="6"/>
        <v>6642000</v>
      </c>
      <c r="P38" s="389" t="s">
        <v>30</v>
      </c>
      <c r="Q38" s="389">
        <f t="shared" si="7"/>
        <v>110.7</v>
      </c>
      <c r="R38" s="389" t="s">
        <v>243</v>
      </c>
      <c r="S38" s="390">
        <v>9500</v>
      </c>
      <c r="T38" s="390">
        <f t="shared" si="8"/>
        <v>1051650</v>
      </c>
      <c r="U38" s="390">
        <f t="shared" si="9"/>
        <v>1107000</v>
      </c>
      <c r="V38" s="390">
        <f t="shared" si="10"/>
        <v>19926000</v>
      </c>
      <c r="W38" s="390">
        <f t="shared" si="4"/>
        <v>0</v>
      </c>
      <c r="X38" s="361">
        <f t="shared" si="5"/>
        <v>0</v>
      </c>
      <c r="Y38" s="362">
        <f t="shared" si="11"/>
        <v>28726650</v>
      </c>
      <c r="Z38" s="363">
        <f t="shared" si="12"/>
        <v>28726650</v>
      </c>
      <c r="AA38" s="350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</row>
    <row r="39" spans="1:39" s="368" customFormat="1" ht="68.25" customHeight="1" hidden="1">
      <c r="A39" s="350">
        <v>17</v>
      </c>
      <c r="B39" s="378" t="s">
        <v>251</v>
      </c>
      <c r="C39" s="350">
        <v>49</v>
      </c>
      <c r="D39" s="350">
        <v>72</v>
      </c>
      <c r="E39" s="350">
        <v>179.5</v>
      </c>
      <c r="F39" s="347" t="s">
        <v>0</v>
      </c>
      <c r="G39" s="357" t="s">
        <v>43</v>
      </c>
      <c r="H39" s="387">
        <v>179.5</v>
      </c>
      <c r="I39" s="387"/>
      <c r="J39" s="388"/>
      <c r="K39" s="388"/>
      <c r="L39" s="389">
        <f t="shared" si="13"/>
        <v>179.5</v>
      </c>
      <c r="M39" s="886">
        <f>SUM(L39:L44)</f>
        <v>1722.5</v>
      </c>
      <c r="N39" s="390">
        <v>60000</v>
      </c>
      <c r="O39" s="390">
        <f t="shared" si="6"/>
        <v>10770000</v>
      </c>
      <c r="P39" s="389" t="s">
        <v>30</v>
      </c>
      <c r="Q39" s="389">
        <f t="shared" si="7"/>
        <v>179.5</v>
      </c>
      <c r="R39" s="389" t="s">
        <v>243</v>
      </c>
      <c r="S39" s="390">
        <v>9500</v>
      </c>
      <c r="T39" s="390">
        <f t="shared" si="8"/>
        <v>1705250</v>
      </c>
      <c r="U39" s="390">
        <f t="shared" si="9"/>
        <v>1795000</v>
      </c>
      <c r="V39" s="390">
        <f t="shared" si="10"/>
        <v>32310000</v>
      </c>
      <c r="W39" s="390">
        <f t="shared" si="4"/>
        <v>9</v>
      </c>
      <c r="X39" s="361">
        <f t="shared" si="5"/>
        <v>31500000</v>
      </c>
      <c r="Y39" s="362">
        <f t="shared" si="11"/>
        <v>78080250</v>
      </c>
      <c r="Z39" s="363">
        <f t="shared" si="12"/>
        <v>78080250</v>
      </c>
      <c r="AA39" s="350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</row>
    <row r="40" spans="1:39" s="368" customFormat="1" ht="68.25" customHeight="1" hidden="1">
      <c r="A40" s="350">
        <v>17</v>
      </c>
      <c r="B40" s="378" t="s">
        <v>251</v>
      </c>
      <c r="C40" s="350">
        <v>83</v>
      </c>
      <c r="D40" s="350">
        <v>72</v>
      </c>
      <c r="E40" s="350">
        <v>304.3</v>
      </c>
      <c r="F40" s="350" t="s">
        <v>45</v>
      </c>
      <c r="G40" s="357" t="s">
        <v>44</v>
      </c>
      <c r="H40" s="387">
        <v>304.3</v>
      </c>
      <c r="I40" s="387"/>
      <c r="J40" s="388"/>
      <c r="K40" s="388"/>
      <c r="L40" s="389">
        <f t="shared" si="13"/>
        <v>304.3</v>
      </c>
      <c r="M40" s="887"/>
      <c r="N40" s="390">
        <v>60000</v>
      </c>
      <c r="O40" s="390">
        <f t="shared" si="6"/>
        <v>18258000</v>
      </c>
      <c r="P40" s="389" t="s">
        <v>30</v>
      </c>
      <c r="Q40" s="389">
        <f t="shared" si="7"/>
        <v>304.3</v>
      </c>
      <c r="R40" s="389" t="s">
        <v>243</v>
      </c>
      <c r="S40" s="390">
        <v>9500</v>
      </c>
      <c r="T40" s="390">
        <f t="shared" si="8"/>
        <v>2890850</v>
      </c>
      <c r="U40" s="390">
        <f t="shared" si="9"/>
        <v>3043000</v>
      </c>
      <c r="V40" s="390">
        <f t="shared" si="10"/>
        <v>54774000</v>
      </c>
      <c r="W40" s="390">
        <f t="shared" si="4"/>
        <v>0</v>
      </c>
      <c r="X40" s="361">
        <f t="shared" si="5"/>
        <v>0</v>
      </c>
      <c r="Y40" s="362">
        <f t="shared" si="11"/>
        <v>78965850</v>
      </c>
      <c r="Z40" s="363">
        <f t="shared" si="12"/>
        <v>78965850</v>
      </c>
      <c r="AA40" s="350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</row>
    <row r="41" spans="1:39" s="368" customFormat="1" ht="68.25" customHeight="1" hidden="1">
      <c r="A41" s="350">
        <v>17</v>
      </c>
      <c r="B41" s="378" t="s">
        <v>251</v>
      </c>
      <c r="C41" s="350">
        <v>158</v>
      </c>
      <c r="D41" s="350">
        <v>72</v>
      </c>
      <c r="E41" s="350">
        <v>136.1</v>
      </c>
      <c r="F41" s="350" t="s">
        <v>45</v>
      </c>
      <c r="G41" s="357" t="s">
        <v>44</v>
      </c>
      <c r="H41" s="387">
        <v>109.6</v>
      </c>
      <c r="I41" s="387">
        <v>26.5</v>
      </c>
      <c r="J41" s="388"/>
      <c r="K41" s="388"/>
      <c r="L41" s="389">
        <f t="shared" si="13"/>
        <v>136.1</v>
      </c>
      <c r="M41" s="887"/>
      <c r="N41" s="390">
        <v>60000</v>
      </c>
      <c r="O41" s="390">
        <f t="shared" si="6"/>
        <v>8166000</v>
      </c>
      <c r="P41" s="389" t="s">
        <v>30</v>
      </c>
      <c r="Q41" s="389">
        <f t="shared" si="7"/>
        <v>136.1</v>
      </c>
      <c r="R41" s="389" t="s">
        <v>243</v>
      </c>
      <c r="S41" s="390">
        <v>9500</v>
      </c>
      <c r="T41" s="390">
        <f t="shared" si="8"/>
        <v>1292950</v>
      </c>
      <c r="U41" s="390">
        <f t="shared" si="9"/>
        <v>1361000</v>
      </c>
      <c r="V41" s="390">
        <f t="shared" si="10"/>
        <v>24498000</v>
      </c>
      <c r="W41" s="390">
        <f t="shared" si="4"/>
        <v>0</v>
      </c>
      <c r="X41" s="361">
        <f t="shared" si="5"/>
        <v>0</v>
      </c>
      <c r="Y41" s="362">
        <f t="shared" si="11"/>
        <v>35317950</v>
      </c>
      <c r="Z41" s="363">
        <f t="shared" si="12"/>
        <v>35317950</v>
      </c>
      <c r="AA41" s="350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</row>
    <row r="42" spans="1:39" s="368" customFormat="1" ht="68.25" customHeight="1" hidden="1">
      <c r="A42" s="350">
        <v>17</v>
      </c>
      <c r="B42" s="378" t="s">
        <v>251</v>
      </c>
      <c r="C42" s="350">
        <v>103</v>
      </c>
      <c r="D42" s="350">
        <v>72</v>
      </c>
      <c r="E42" s="350">
        <v>109.5</v>
      </c>
      <c r="F42" s="350" t="s">
        <v>45</v>
      </c>
      <c r="G42" s="357" t="s">
        <v>44</v>
      </c>
      <c r="H42" s="393"/>
      <c r="I42" s="387">
        <v>109.5</v>
      </c>
      <c r="J42" s="388"/>
      <c r="K42" s="388"/>
      <c r="L42" s="389">
        <f t="shared" si="13"/>
        <v>109.5</v>
      </c>
      <c r="M42" s="887"/>
      <c r="N42" s="390">
        <v>60000</v>
      </c>
      <c r="O42" s="390">
        <f t="shared" si="6"/>
        <v>6570000</v>
      </c>
      <c r="P42" s="389" t="s">
        <v>30</v>
      </c>
      <c r="Q42" s="389">
        <f t="shared" si="7"/>
        <v>109.5</v>
      </c>
      <c r="R42" s="389" t="s">
        <v>243</v>
      </c>
      <c r="S42" s="390">
        <v>9500</v>
      </c>
      <c r="T42" s="390">
        <f t="shared" si="8"/>
        <v>1040250</v>
      </c>
      <c r="U42" s="390">
        <f t="shared" si="9"/>
        <v>1095000</v>
      </c>
      <c r="V42" s="390">
        <f t="shared" si="10"/>
        <v>19710000</v>
      </c>
      <c r="W42" s="390">
        <f t="shared" si="4"/>
        <v>0</v>
      </c>
      <c r="X42" s="361">
        <f t="shared" si="5"/>
        <v>0</v>
      </c>
      <c r="Y42" s="362">
        <f t="shared" si="11"/>
        <v>28415250</v>
      </c>
      <c r="Z42" s="363">
        <f t="shared" si="12"/>
        <v>28415250</v>
      </c>
      <c r="AA42" s="350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</row>
    <row r="43" spans="1:39" s="368" customFormat="1" ht="68.25" customHeight="1" hidden="1">
      <c r="A43" s="350">
        <v>17</v>
      </c>
      <c r="B43" s="378" t="s">
        <v>251</v>
      </c>
      <c r="C43" s="350">
        <v>62</v>
      </c>
      <c r="D43" s="350">
        <v>81</v>
      </c>
      <c r="E43" s="350">
        <v>597.9</v>
      </c>
      <c r="F43" s="350" t="s">
        <v>45</v>
      </c>
      <c r="G43" s="357" t="s">
        <v>37</v>
      </c>
      <c r="H43" s="387">
        <v>597.9</v>
      </c>
      <c r="I43" s="387"/>
      <c r="J43" s="388"/>
      <c r="K43" s="388"/>
      <c r="L43" s="389">
        <f t="shared" si="13"/>
        <v>597.9</v>
      </c>
      <c r="M43" s="887"/>
      <c r="N43" s="390">
        <v>60000</v>
      </c>
      <c r="O43" s="390">
        <f t="shared" si="6"/>
        <v>35874000</v>
      </c>
      <c r="P43" s="389" t="s">
        <v>30</v>
      </c>
      <c r="Q43" s="389">
        <f t="shared" si="7"/>
        <v>597.9</v>
      </c>
      <c r="R43" s="389" t="s">
        <v>243</v>
      </c>
      <c r="S43" s="390">
        <v>9500</v>
      </c>
      <c r="T43" s="390">
        <f t="shared" si="8"/>
        <v>5680050</v>
      </c>
      <c r="U43" s="390">
        <f t="shared" si="9"/>
        <v>5979000</v>
      </c>
      <c r="V43" s="390">
        <f t="shared" si="10"/>
        <v>107622000</v>
      </c>
      <c r="W43" s="390">
        <f t="shared" si="4"/>
        <v>0</v>
      </c>
      <c r="X43" s="361">
        <f t="shared" si="5"/>
        <v>0</v>
      </c>
      <c r="Y43" s="362">
        <f t="shared" si="11"/>
        <v>155155050</v>
      </c>
      <c r="Z43" s="363">
        <f t="shared" si="12"/>
        <v>155155050</v>
      </c>
      <c r="AA43" s="350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</row>
    <row r="44" spans="1:39" s="368" customFormat="1" ht="68.25" customHeight="1" hidden="1">
      <c r="A44" s="350">
        <v>17</v>
      </c>
      <c r="B44" s="378" t="s">
        <v>251</v>
      </c>
      <c r="C44" s="350">
        <v>49</v>
      </c>
      <c r="D44" s="350">
        <v>81</v>
      </c>
      <c r="E44" s="350">
        <v>395.2</v>
      </c>
      <c r="F44" s="350" t="s">
        <v>0</v>
      </c>
      <c r="G44" s="357" t="s">
        <v>37</v>
      </c>
      <c r="H44" s="394">
        <v>395.2</v>
      </c>
      <c r="I44" s="394"/>
      <c r="J44" s="388"/>
      <c r="K44" s="388"/>
      <c r="L44" s="389">
        <f t="shared" si="13"/>
        <v>395.2</v>
      </c>
      <c r="M44" s="888"/>
      <c r="N44" s="390">
        <v>60000</v>
      </c>
      <c r="O44" s="390">
        <f t="shared" si="6"/>
        <v>23712000</v>
      </c>
      <c r="P44" s="389" t="s">
        <v>30</v>
      </c>
      <c r="Q44" s="389">
        <f t="shared" si="7"/>
        <v>395.2</v>
      </c>
      <c r="R44" s="389" t="s">
        <v>243</v>
      </c>
      <c r="S44" s="390">
        <v>9500</v>
      </c>
      <c r="T44" s="390">
        <f t="shared" si="8"/>
        <v>3754400</v>
      </c>
      <c r="U44" s="390">
        <f t="shared" si="9"/>
        <v>3952000</v>
      </c>
      <c r="V44" s="390">
        <f t="shared" si="10"/>
        <v>71136000</v>
      </c>
      <c r="W44" s="390">
        <f t="shared" si="4"/>
        <v>0</v>
      </c>
      <c r="X44" s="361">
        <f t="shared" si="5"/>
        <v>0</v>
      </c>
      <c r="Y44" s="362">
        <f t="shared" si="11"/>
        <v>102554400</v>
      </c>
      <c r="Z44" s="363">
        <f t="shared" si="12"/>
        <v>102554400</v>
      </c>
      <c r="AA44" s="350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</row>
    <row r="45" spans="1:39" s="368" customFormat="1" ht="68.25" customHeight="1" hidden="1">
      <c r="A45" s="350">
        <v>18</v>
      </c>
      <c r="B45" s="378" t="s">
        <v>252</v>
      </c>
      <c r="C45" s="350">
        <v>24</v>
      </c>
      <c r="D45" s="350">
        <v>72</v>
      </c>
      <c r="E45" s="351">
        <v>186</v>
      </c>
      <c r="F45" s="350" t="s">
        <v>0</v>
      </c>
      <c r="G45" s="357" t="s">
        <v>44</v>
      </c>
      <c r="H45" s="387">
        <v>159.4</v>
      </c>
      <c r="I45" s="387">
        <v>26.599999999999994</v>
      </c>
      <c r="J45" s="388"/>
      <c r="K45" s="388"/>
      <c r="L45" s="389">
        <f t="shared" si="13"/>
        <v>186</v>
      </c>
      <c r="M45" s="399">
        <f>L45</f>
        <v>186</v>
      </c>
      <c r="N45" s="390">
        <v>60000</v>
      </c>
      <c r="O45" s="390">
        <f t="shared" si="6"/>
        <v>11160000</v>
      </c>
      <c r="P45" s="389" t="s">
        <v>30</v>
      </c>
      <c r="Q45" s="389">
        <f t="shared" si="7"/>
        <v>186</v>
      </c>
      <c r="R45" s="389" t="s">
        <v>243</v>
      </c>
      <c r="S45" s="390">
        <v>9500</v>
      </c>
      <c r="T45" s="390">
        <f t="shared" si="8"/>
        <v>1767000</v>
      </c>
      <c r="U45" s="390">
        <f t="shared" si="9"/>
        <v>1860000</v>
      </c>
      <c r="V45" s="390">
        <f t="shared" si="10"/>
        <v>33480000</v>
      </c>
      <c r="W45" s="390">
        <f t="shared" si="4"/>
        <v>1</v>
      </c>
      <c r="X45" s="361">
        <f t="shared" si="5"/>
        <v>3500000</v>
      </c>
      <c r="Y45" s="362">
        <f t="shared" si="11"/>
        <v>51767000</v>
      </c>
      <c r="Z45" s="363">
        <f t="shared" si="12"/>
        <v>51767000</v>
      </c>
      <c r="AA45" s="350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</row>
    <row r="46" spans="1:39" s="368" customFormat="1" ht="68.25" customHeight="1" hidden="1">
      <c r="A46" s="350">
        <v>19</v>
      </c>
      <c r="B46" s="378" t="s">
        <v>222</v>
      </c>
      <c r="C46" s="350">
        <v>51</v>
      </c>
      <c r="D46" s="350">
        <v>81</v>
      </c>
      <c r="E46" s="350">
        <v>654.8</v>
      </c>
      <c r="F46" s="350" t="s">
        <v>0</v>
      </c>
      <c r="G46" s="394" t="s">
        <v>37</v>
      </c>
      <c r="H46" s="393"/>
      <c r="I46" s="387">
        <v>654.8</v>
      </c>
      <c r="J46" s="388"/>
      <c r="K46" s="388"/>
      <c r="L46" s="389">
        <f t="shared" si="13"/>
        <v>654.8</v>
      </c>
      <c r="M46" s="399">
        <f>L46</f>
        <v>654.8</v>
      </c>
      <c r="N46" s="390">
        <v>60000</v>
      </c>
      <c r="O46" s="390">
        <f t="shared" si="6"/>
        <v>39288000</v>
      </c>
      <c r="P46" s="389" t="s">
        <v>30</v>
      </c>
      <c r="Q46" s="389">
        <f t="shared" si="7"/>
        <v>654.8</v>
      </c>
      <c r="R46" s="389" t="s">
        <v>243</v>
      </c>
      <c r="S46" s="390">
        <v>9500</v>
      </c>
      <c r="T46" s="390">
        <f t="shared" si="8"/>
        <v>6220600</v>
      </c>
      <c r="U46" s="390">
        <f t="shared" si="9"/>
        <v>6548000</v>
      </c>
      <c r="V46" s="390">
        <f t="shared" si="10"/>
        <v>117864000</v>
      </c>
      <c r="W46" s="390">
        <f t="shared" si="4"/>
        <v>3</v>
      </c>
      <c r="X46" s="361">
        <f t="shared" si="5"/>
        <v>10500000</v>
      </c>
      <c r="Y46" s="362">
        <f t="shared" si="11"/>
        <v>180420600</v>
      </c>
      <c r="Z46" s="363">
        <f t="shared" si="12"/>
        <v>180420600</v>
      </c>
      <c r="AA46" s="350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</row>
    <row r="47" spans="1:39" s="368" customFormat="1" ht="68.25" customHeight="1" hidden="1">
      <c r="A47" s="350">
        <v>20</v>
      </c>
      <c r="B47" s="378" t="s">
        <v>223</v>
      </c>
      <c r="C47" s="350">
        <v>81</v>
      </c>
      <c r="D47" s="350">
        <v>81</v>
      </c>
      <c r="E47" s="351">
        <v>137</v>
      </c>
      <c r="F47" s="350" t="s">
        <v>45</v>
      </c>
      <c r="G47" s="394" t="s">
        <v>37</v>
      </c>
      <c r="H47" s="393"/>
      <c r="I47" s="387">
        <v>0.6</v>
      </c>
      <c r="J47" s="388"/>
      <c r="K47" s="388"/>
      <c r="L47" s="389">
        <f t="shared" si="13"/>
        <v>0.6</v>
      </c>
      <c r="M47" s="399">
        <f>L47</f>
        <v>0.6</v>
      </c>
      <c r="N47" s="390">
        <v>60000</v>
      </c>
      <c r="O47" s="390">
        <f t="shared" si="6"/>
        <v>36000</v>
      </c>
      <c r="P47" s="389" t="s">
        <v>30</v>
      </c>
      <c r="Q47" s="389">
        <f t="shared" si="7"/>
        <v>0.6</v>
      </c>
      <c r="R47" s="389" t="s">
        <v>243</v>
      </c>
      <c r="S47" s="390">
        <v>9500</v>
      </c>
      <c r="T47" s="390">
        <f t="shared" si="8"/>
        <v>5700</v>
      </c>
      <c r="U47" s="390">
        <f t="shared" si="9"/>
        <v>6000</v>
      </c>
      <c r="V47" s="390">
        <f t="shared" si="10"/>
        <v>108000</v>
      </c>
      <c r="W47" s="390">
        <f t="shared" si="4"/>
        <v>0</v>
      </c>
      <c r="X47" s="361">
        <f t="shared" si="5"/>
        <v>0</v>
      </c>
      <c r="Y47" s="362">
        <f t="shared" si="11"/>
        <v>155700</v>
      </c>
      <c r="Z47" s="363">
        <f t="shared" si="12"/>
        <v>155700</v>
      </c>
      <c r="AA47" s="350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</row>
    <row r="48" spans="1:39" s="368" customFormat="1" ht="68.25" customHeight="1" hidden="1">
      <c r="A48" s="350">
        <v>21</v>
      </c>
      <c r="B48" s="378" t="s">
        <v>224</v>
      </c>
      <c r="C48" s="350">
        <v>216</v>
      </c>
      <c r="D48" s="350">
        <v>72</v>
      </c>
      <c r="E48" s="351">
        <v>320</v>
      </c>
      <c r="F48" s="350" t="s">
        <v>45</v>
      </c>
      <c r="G48" s="357" t="s">
        <v>44</v>
      </c>
      <c r="H48" s="387">
        <v>320</v>
      </c>
      <c r="I48" s="387"/>
      <c r="J48" s="388"/>
      <c r="K48" s="388"/>
      <c r="L48" s="389">
        <f t="shared" si="13"/>
        <v>320</v>
      </c>
      <c r="M48" s="399">
        <f>L48</f>
        <v>320</v>
      </c>
      <c r="N48" s="390">
        <v>60000</v>
      </c>
      <c r="O48" s="390">
        <f t="shared" si="6"/>
        <v>19200000</v>
      </c>
      <c r="P48" s="389" t="s">
        <v>30</v>
      </c>
      <c r="Q48" s="389">
        <f t="shared" si="7"/>
        <v>320</v>
      </c>
      <c r="R48" s="389" t="s">
        <v>243</v>
      </c>
      <c r="S48" s="390">
        <v>9500</v>
      </c>
      <c r="T48" s="390">
        <f t="shared" si="8"/>
        <v>3040000</v>
      </c>
      <c r="U48" s="390">
        <f t="shared" si="9"/>
        <v>3200000</v>
      </c>
      <c r="V48" s="390">
        <f t="shared" si="10"/>
        <v>57600000</v>
      </c>
      <c r="W48" s="390">
        <f t="shared" si="4"/>
        <v>1</v>
      </c>
      <c r="X48" s="361">
        <f t="shared" si="5"/>
        <v>3500000</v>
      </c>
      <c r="Y48" s="362">
        <f t="shared" si="11"/>
        <v>86540000</v>
      </c>
      <c r="Z48" s="363">
        <f t="shared" si="12"/>
        <v>86540000</v>
      </c>
      <c r="AA48" s="350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</row>
    <row r="49" spans="1:39" s="368" customFormat="1" ht="68.25" customHeight="1" hidden="1">
      <c r="A49" s="350">
        <v>22</v>
      </c>
      <c r="B49" s="378" t="s">
        <v>242</v>
      </c>
      <c r="C49" s="350">
        <v>228</v>
      </c>
      <c r="D49" s="350">
        <v>72</v>
      </c>
      <c r="E49" s="350">
        <v>136.3</v>
      </c>
      <c r="F49" s="350" t="s">
        <v>45</v>
      </c>
      <c r="G49" s="357" t="s">
        <v>44</v>
      </c>
      <c r="H49" s="387">
        <v>136.3</v>
      </c>
      <c r="I49" s="387"/>
      <c r="J49" s="388"/>
      <c r="K49" s="388"/>
      <c r="L49" s="389">
        <f t="shared" si="13"/>
        <v>136.3</v>
      </c>
      <c r="M49" s="886">
        <f>L49+L50</f>
        <v>749</v>
      </c>
      <c r="N49" s="390">
        <v>60000</v>
      </c>
      <c r="O49" s="390">
        <f t="shared" si="6"/>
        <v>8178000.000000001</v>
      </c>
      <c r="P49" s="389" t="s">
        <v>30</v>
      </c>
      <c r="Q49" s="389">
        <f t="shared" si="7"/>
        <v>136.3</v>
      </c>
      <c r="R49" s="389" t="s">
        <v>243</v>
      </c>
      <c r="S49" s="390">
        <v>9500</v>
      </c>
      <c r="T49" s="390">
        <f t="shared" si="8"/>
        <v>1294850</v>
      </c>
      <c r="U49" s="390">
        <f t="shared" si="9"/>
        <v>1363000</v>
      </c>
      <c r="V49" s="390">
        <f t="shared" si="10"/>
        <v>24534000.000000004</v>
      </c>
      <c r="W49" s="390">
        <f t="shared" si="4"/>
        <v>4</v>
      </c>
      <c r="X49" s="361">
        <f t="shared" si="5"/>
        <v>14000000</v>
      </c>
      <c r="Y49" s="362">
        <f t="shared" si="11"/>
        <v>49369850</v>
      </c>
      <c r="Z49" s="363">
        <f t="shared" si="12"/>
        <v>49369850</v>
      </c>
      <c r="AA49" s="350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</row>
    <row r="50" spans="1:39" s="368" customFormat="1" ht="68.25" customHeight="1" hidden="1">
      <c r="A50" s="350">
        <v>22</v>
      </c>
      <c r="B50" s="378" t="s">
        <v>242</v>
      </c>
      <c r="C50" s="350">
        <v>121</v>
      </c>
      <c r="D50" s="350">
        <v>82</v>
      </c>
      <c r="E50" s="350">
        <v>612.7</v>
      </c>
      <c r="F50" s="350" t="s">
        <v>0</v>
      </c>
      <c r="G50" s="357" t="s">
        <v>32</v>
      </c>
      <c r="H50" s="387">
        <v>612.7</v>
      </c>
      <c r="I50" s="387"/>
      <c r="J50" s="388"/>
      <c r="K50" s="388"/>
      <c r="L50" s="389">
        <f t="shared" si="13"/>
        <v>612.7</v>
      </c>
      <c r="M50" s="888"/>
      <c r="N50" s="390">
        <v>60000</v>
      </c>
      <c r="O50" s="390">
        <f t="shared" si="6"/>
        <v>36762000</v>
      </c>
      <c r="P50" s="389" t="s">
        <v>30</v>
      </c>
      <c r="Q50" s="389">
        <f t="shared" si="7"/>
        <v>612.7</v>
      </c>
      <c r="R50" s="389" t="s">
        <v>243</v>
      </c>
      <c r="S50" s="390">
        <v>9500</v>
      </c>
      <c r="T50" s="390">
        <f t="shared" si="8"/>
        <v>5820650</v>
      </c>
      <c r="U50" s="390">
        <f t="shared" si="9"/>
        <v>6127000</v>
      </c>
      <c r="V50" s="390">
        <f t="shared" si="10"/>
        <v>110286000</v>
      </c>
      <c r="W50" s="390">
        <f t="shared" si="4"/>
        <v>0</v>
      </c>
      <c r="X50" s="361">
        <f t="shared" si="5"/>
        <v>0</v>
      </c>
      <c r="Y50" s="362">
        <f t="shared" si="11"/>
        <v>158995650</v>
      </c>
      <c r="Z50" s="363">
        <f t="shared" si="12"/>
        <v>158995650</v>
      </c>
      <c r="AA50" s="350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</row>
    <row r="51" spans="1:39" s="368" customFormat="1" ht="68.25" customHeight="1" hidden="1">
      <c r="A51" s="350">
        <v>23</v>
      </c>
      <c r="B51" s="378" t="s">
        <v>225</v>
      </c>
      <c r="C51" s="350">
        <v>215</v>
      </c>
      <c r="D51" s="350">
        <v>72</v>
      </c>
      <c r="E51" s="350">
        <v>201.1</v>
      </c>
      <c r="F51" s="350" t="s">
        <v>45</v>
      </c>
      <c r="G51" s="394" t="s">
        <v>44</v>
      </c>
      <c r="H51" s="393"/>
      <c r="I51" s="387">
        <v>201.1</v>
      </c>
      <c r="J51" s="388"/>
      <c r="K51" s="388"/>
      <c r="L51" s="389">
        <f t="shared" si="13"/>
        <v>201.1</v>
      </c>
      <c r="M51" s="886">
        <f>SUM(I51:I54)</f>
        <v>1337</v>
      </c>
      <c r="N51" s="390">
        <v>60000</v>
      </c>
      <c r="O51" s="390">
        <f t="shared" si="6"/>
        <v>12066000</v>
      </c>
      <c r="P51" s="389" t="s">
        <v>30</v>
      </c>
      <c r="Q51" s="389">
        <f t="shared" si="7"/>
        <v>201.1</v>
      </c>
      <c r="R51" s="389" t="s">
        <v>243</v>
      </c>
      <c r="S51" s="390">
        <v>9500</v>
      </c>
      <c r="T51" s="390">
        <f t="shared" si="8"/>
        <v>1910450</v>
      </c>
      <c r="U51" s="390">
        <f t="shared" si="9"/>
        <v>2011000</v>
      </c>
      <c r="V51" s="390">
        <f t="shared" si="10"/>
        <v>36198000</v>
      </c>
      <c r="W51" s="390">
        <f t="shared" si="4"/>
        <v>7</v>
      </c>
      <c r="X51" s="361">
        <f t="shared" si="5"/>
        <v>24500000</v>
      </c>
      <c r="Y51" s="362">
        <f t="shared" si="11"/>
        <v>76685450</v>
      </c>
      <c r="Z51" s="363">
        <f t="shared" si="12"/>
        <v>76685450</v>
      </c>
      <c r="AA51" s="350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</row>
    <row r="52" spans="1:39" s="368" customFormat="1" ht="68.25" customHeight="1" hidden="1">
      <c r="A52" s="350">
        <v>23</v>
      </c>
      <c r="B52" s="378" t="s">
        <v>225</v>
      </c>
      <c r="C52" s="350">
        <v>223</v>
      </c>
      <c r="D52" s="350">
        <v>72</v>
      </c>
      <c r="E52" s="350">
        <v>322</v>
      </c>
      <c r="F52" s="350" t="s">
        <v>0</v>
      </c>
      <c r="G52" s="394" t="s">
        <v>44</v>
      </c>
      <c r="H52" s="393"/>
      <c r="I52" s="387">
        <v>322</v>
      </c>
      <c r="J52" s="388"/>
      <c r="K52" s="388"/>
      <c r="L52" s="389">
        <f t="shared" si="13"/>
        <v>322</v>
      </c>
      <c r="M52" s="887"/>
      <c r="N52" s="390">
        <v>60000</v>
      </c>
      <c r="O52" s="390">
        <f t="shared" si="6"/>
        <v>19320000</v>
      </c>
      <c r="P52" s="389" t="s">
        <v>30</v>
      </c>
      <c r="Q52" s="389">
        <f t="shared" si="7"/>
        <v>322</v>
      </c>
      <c r="R52" s="389" t="s">
        <v>243</v>
      </c>
      <c r="S52" s="390">
        <v>9500</v>
      </c>
      <c r="T52" s="390">
        <f t="shared" si="8"/>
        <v>3059000</v>
      </c>
      <c r="U52" s="390">
        <f t="shared" si="9"/>
        <v>3220000</v>
      </c>
      <c r="V52" s="390">
        <f t="shared" si="10"/>
        <v>57960000</v>
      </c>
      <c r="W52" s="390">
        <f t="shared" si="4"/>
        <v>0</v>
      </c>
      <c r="X52" s="361">
        <f t="shared" si="5"/>
        <v>0</v>
      </c>
      <c r="Y52" s="362">
        <f t="shared" si="11"/>
        <v>83559000</v>
      </c>
      <c r="Z52" s="363">
        <f t="shared" si="12"/>
        <v>83559000</v>
      </c>
      <c r="AA52" s="350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</row>
    <row r="53" spans="1:39" s="368" customFormat="1" ht="68.25" customHeight="1" hidden="1">
      <c r="A53" s="347">
        <v>23</v>
      </c>
      <c r="B53" s="378" t="s">
        <v>225</v>
      </c>
      <c r="C53" s="347">
        <v>222</v>
      </c>
      <c r="D53" s="347">
        <v>72</v>
      </c>
      <c r="E53" s="348">
        <v>273.5</v>
      </c>
      <c r="F53" s="350" t="s">
        <v>0</v>
      </c>
      <c r="G53" s="394" t="s">
        <v>44</v>
      </c>
      <c r="H53" s="393"/>
      <c r="I53" s="387">
        <v>34.7</v>
      </c>
      <c r="J53" s="388"/>
      <c r="K53" s="388"/>
      <c r="L53" s="389">
        <f t="shared" si="13"/>
        <v>34.7</v>
      </c>
      <c r="M53" s="887"/>
      <c r="N53" s="390">
        <v>60000</v>
      </c>
      <c r="O53" s="390">
        <f t="shared" si="6"/>
        <v>2082000.0000000002</v>
      </c>
      <c r="P53" s="389" t="s">
        <v>30</v>
      </c>
      <c r="Q53" s="389">
        <f t="shared" si="7"/>
        <v>34.7</v>
      </c>
      <c r="R53" s="389" t="s">
        <v>243</v>
      </c>
      <c r="S53" s="390">
        <v>9500</v>
      </c>
      <c r="T53" s="390">
        <f t="shared" si="8"/>
        <v>329650</v>
      </c>
      <c r="U53" s="390">
        <f t="shared" si="9"/>
        <v>347000</v>
      </c>
      <c r="V53" s="390">
        <f t="shared" si="10"/>
        <v>6246000.000000001</v>
      </c>
      <c r="W53" s="390">
        <f t="shared" si="4"/>
        <v>0</v>
      </c>
      <c r="X53" s="361">
        <f t="shared" si="5"/>
        <v>0</v>
      </c>
      <c r="Y53" s="362">
        <f t="shared" si="11"/>
        <v>9004650</v>
      </c>
      <c r="Z53" s="363">
        <f t="shared" si="12"/>
        <v>9004650</v>
      </c>
      <c r="AA53" s="350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</row>
    <row r="54" spans="1:39" s="368" customFormat="1" ht="68.25" customHeight="1" hidden="1">
      <c r="A54" s="350">
        <v>23</v>
      </c>
      <c r="B54" s="378" t="s">
        <v>225</v>
      </c>
      <c r="C54" s="350">
        <v>37</v>
      </c>
      <c r="D54" s="350">
        <v>81</v>
      </c>
      <c r="E54" s="350">
        <v>779.2</v>
      </c>
      <c r="F54" s="350" t="s">
        <v>0</v>
      </c>
      <c r="G54" s="394" t="s">
        <v>37</v>
      </c>
      <c r="H54" s="393"/>
      <c r="I54" s="387">
        <v>779.2</v>
      </c>
      <c r="J54" s="388"/>
      <c r="K54" s="388"/>
      <c r="L54" s="389">
        <f t="shared" si="13"/>
        <v>779.2</v>
      </c>
      <c r="M54" s="888"/>
      <c r="N54" s="390">
        <v>60000</v>
      </c>
      <c r="O54" s="390">
        <f t="shared" si="6"/>
        <v>46752000</v>
      </c>
      <c r="P54" s="389" t="s">
        <v>30</v>
      </c>
      <c r="Q54" s="389">
        <f t="shared" si="7"/>
        <v>779.2</v>
      </c>
      <c r="R54" s="389" t="s">
        <v>243</v>
      </c>
      <c r="S54" s="390">
        <v>9500</v>
      </c>
      <c r="T54" s="390">
        <f t="shared" si="8"/>
        <v>7402400</v>
      </c>
      <c r="U54" s="390">
        <f t="shared" si="9"/>
        <v>7792000</v>
      </c>
      <c r="V54" s="390">
        <f t="shared" si="10"/>
        <v>140256000</v>
      </c>
      <c r="W54" s="390">
        <f t="shared" si="4"/>
        <v>0</v>
      </c>
      <c r="X54" s="361">
        <f t="shared" si="5"/>
        <v>0</v>
      </c>
      <c r="Y54" s="362">
        <f t="shared" si="11"/>
        <v>202202400</v>
      </c>
      <c r="Z54" s="363">
        <f t="shared" si="12"/>
        <v>202202400</v>
      </c>
      <c r="AA54" s="350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</row>
    <row r="55" spans="1:39" s="368" customFormat="1" ht="68.25" customHeight="1" hidden="1">
      <c r="A55" s="350">
        <v>24</v>
      </c>
      <c r="B55" s="378" t="s">
        <v>226</v>
      </c>
      <c r="C55" s="350">
        <v>50</v>
      </c>
      <c r="D55" s="350">
        <v>81</v>
      </c>
      <c r="E55" s="350">
        <v>1913.8</v>
      </c>
      <c r="F55" s="350" t="s">
        <v>0</v>
      </c>
      <c r="G55" s="357" t="s">
        <v>37</v>
      </c>
      <c r="H55" s="367">
        <v>948.3</v>
      </c>
      <c r="I55" s="367">
        <v>8.600000000000023</v>
      </c>
      <c r="J55" s="388"/>
      <c r="K55" s="388"/>
      <c r="L55" s="389">
        <f t="shared" si="13"/>
        <v>956.9</v>
      </c>
      <c r="M55" s="399">
        <f>L55</f>
        <v>956.9</v>
      </c>
      <c r="N55" s="390">
        <v>60000</v>
      </c>
      <c r="O55" s="390">
        <f t="shared" si="6"/>
        <v>57414000</v>
      </c>
      <c r="P55" s="389" t="s">
        <v>30</v>
      </c>
      <c r="Q55" s="389">
        <f t="shared" si="7"/>
        <v>956.9</v>
      </c>
      <c r="R55" s="389" t="s">
        <v>243</v>
      </c>
      <c r="S55" s="390">
        <v>9500</v>
      </c>
      <c r="T55" s="390">
        <f t="shared" si="8"/>
        <v>9090550</v>
      </c>
      <c r="U55" s="390">
        <f t="shared" si="9"/>
        <v>9569000</v>
      </c>
      <c r="V55" s="390">
        <f t="shared" si="10"/>
        <v>172242000</v>
      </c>
      <c r="W55" s="390">
        <f t="shared" si="4"/>
        <v>5</v>
      </c>
      <c r="X55" s="361">
        <f t="shared" si="5"/>
        <v>17500000</v>
      </c>
      <c r="Y55" s="362">
        <f t="shared" si="11"/>
        <v>265815550</v>
      </c>
      <c r="Z55" s="363">
        <f t="shared" si="12"/>
        <v>265815550</v>
      </c>
      <c r="AA55" s="350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</row>
    <row r="56" spans="1:39" s="368" customFormat="1" ht="68.25" customHeight="1" hidden="1">
      <c r="A56" s="350">
        <v>25</v>
      </c>
      <c r="B56" s="378" t="s">
        <v>227</v>
      </c>
      <c r="C56" s="350">
        <v>50</v>
      </c>
      <c r="D56" s="350">
        <v>81</v>
      </c>
      <c r="E56" s="350">
        <v>1913.8</v>
      </c>
      <c r="F56" s="350" t="s">
        <v>0</v>
      </c>
      <c r="G56" s="394" t="s">
        <v>37</v>
      </c>
      <c r="H56" s="393"/>
      <c r="I56" s="394">
        <v>956.9</v>
      </c>
      <c r="J56" s="388"/>
      <c r="K56" s="388"/>
      <c r="L56" s="389">
        <f t="shared" si="13"/>
        <v>956.9</v>
      </c>
      <c r="M56" s="886">
        <f>SUM(L56:L59)</f>
        <v>1495.8000000000002</v>
      </c>
      <c r="N56" s="390">
        <v>60000</v>
      </c>
      <c r="O56" s="390">
        <f t="shared" si="6"/>
        <v>57414000</v>
      </c>
      <c r="P56" s="389" t="s">
        <v>30</v>
      </c>
      <c r="Q56" s="389">
        <f t="shared" si="7"/>
        <v>956.9</v>
      </c>
      <c r="R56" s="389" t="s">
        <v>243</v>
      </c>
      <c r="S56" s="390">
        <v>9500</v>
      </c>
      <c r="T56" s="390">
        <f t="shared" si="8"/>
        <v>9090550</v>
      </c>
      <c r="U56" s="390">
        <f t="shared" si="9"/>
        <v>9569000</v>
      </c>
      <c r="V56" s="390">
        <f t="shared" si="10"/>
        <v>172242000</v>
      </c>
      <c r="W56" s="390">
        <f t="shared" si="4"/>
        <v>8</v>
      </c>
      <c r="X56" s="361">
        <f t="shared" si="5"/>
        <v>28000000</v>
      </c>
      <c r="Y56" s="362">
        <f t="shared" si="11"/>
        <v>276315550</v>
      </c>
      <c r="Z56" s="363">
        <f t="shared" si="12"/>
        <v>276315550</v>
      </c>
      <c r="AA56" s="350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</row>
    <row r="57" spans="1:39" s="368" customFormat="1" ht="68.25" customHeight="1" hidden="1">
      <c r="A57" s="350">
        <v>25</v>
      </c>
      <c r="B57" s="378" t="s">
        <v>227</v>
      </c>
      <c r="C57" s="350">
        <v>211</v>
      </c>
      <c r="D57" s="350">
        <v>72</v>
      </c>
      <c r="E57" s="351">
        <v>255</v>
      </c>
      <c r="F57" s="350" t="s">
        <v>45</v>
      </c>
      <c r="G57" s="394" t="s">
        <v>32</v>
      </c>
      <c r="H57" s="393"/>
      <c r="I57" s="367">
        <v>255</v>
      </c>
      <c r="J57" s="388"/>
      <c r="K57" s="388"/>
      <c r="L57" s="389">
        <f t="shared" si="13"/>
        <v>255</v>
      </c>
      <c r="M57" s="887"/>
      <c r="N57" s="390">
        <v>60000</v>
      </c>
      <c r="O57" s="390">
        <f t="shared" si="6"/>
        <v>15300000</v>
      </c>
      <c r="P57" s="389" t="s">
        <v>30</v>
      </c>
      <c r="Q57" s="389">
        <f t="shared" si="7"/>
        <v>255</v>
      </c>
      <c r="R57" s="389" t="s">
        <v>243</v>
      </c>
      <c r="S57" s="390">
        <v>9500</v>
      </c>
      <c r="T57" s="390">
        <f t="shared" si="8"/>
        <v>2422500</v>
      </c>
      <c r="U57" s="390">
        <f t="shared" si="9"/>
        <v>2550000</v>
      </c>
      <c r="V57" s="390">
        <f t="shared" si="10"/>
        <v>45900000</v>
      </c>
      <c r="W57" s="390">
        <f t="shared" si="4"/>
        <v>0</v>
      </c>
      <c r="X57" s="361">
        <f t="shared" si="5"/>
        <v>0</v>
      </c>
      <c r="Y57" s="362">
        <f t="shared" si="11"/>
        <v>66172500</v>
      </c>
      <c r="Z57" s="363">
        <f t="shared" si="12"/>
        <v>66172500</v>
      </c>
      <c r="AA57" s="350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</row>
    <row r="58" spans="1:39" s="368" customFormat="1" ht="68.25" customHeight="1" hidden="1">
      <c r="A58" s="350">
        <v>25</v>
      </c>
      <c r="B58" s="378" t="s">
        <v>227</v>
      </c>
      <c r="C58" s="350">
        <v>259</v>
      </c>
      <c r="D58" s="350">
        <v>72</v>
      </c>
      <c r="E58" s="350">
        <v>269.9</v>
      </c>
      <c r="F58" s="350" t="s">
        <v>0</v>
      </c>
      <c r="G58" s="394" t="s">
        <v>44</v>
      </c>
      <c r="H58" s="394"/>
      <c r="I58" s="394">
        <v>269.9</v>
      </c>
      <c r="J58" s="388"/>
      <c r="K58" s="388"/>
      <c r="L58" s="389">
        <f t="shared" si="13"/>
        <v>269.9</v>
      </c>
      <c r="M58" s="887"/>
      <c r="N58" s="390">
        <v>60000</v>
      </c>
      <c r="O58" s="390">
        <f t="shared" si="6"/>
        <v>16193999.999999998</v>
      </c>
      <c r="P58" s="389" t="s">
        <v>30</v>
      </c>
      <c r="Q58" s="389">
        <f t="shared" si="7"/>
        <v>269.9</v>
      </c>
      <c r="R58" s="389" t="s">
        <v>243</v>
      </c>
      <c r="S58" s="390">
        <v>9500</v>
      </c>
      <c r="T58" s="390">
        <f t="shared" si="8"/>
        <v>2564050</v>
      </c>
      <c r="U58" s="390">
        <f t="shared" si="9"/>
        <v>2699000</v>
      </c>
      <c r="V58" s="390">
        <f t="shared" si="10"/>
        <v>48581999.99999999</v>
      </c>
      <c r="W58" s="390">
        <f t="shared" si="4"/>
        <v>0</v>
      </c>
      <c r="X58" s="361">
        <f t="shared" si="5"/>
        <v>0</v>
      </c>
      <c r="Y58" s="362">
        <f t="shared" si="11"/>
        <v>70039050</v>
      </c>
      <c r="Z58" s="363">
        <f t="shared" si="12"/>
        <v>70039050</v>
      </c>
      <c r="AA58" s="350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</row>
    <row r="59" spans="1:39" s="368" customFormat="1" ht="68.25" customHeight="1" hidden="1">
      <c r="A59" s="347">
        <v>25</v>
      </c>
      <c r="B59" s="378" t="s">
        <v>227</v>
      </c>
      <c r="C59" s="347">
        <v>222</v>
      </c>
      <c r="D59" s="347">
        <v>72</v>
      </c>
      <c r="E59" s="348">
        <v>273.5</v>
      </c>
      <c r="F59" s="347" t="s">
        <v>45</v>
      </c>
      <c r="G59" s="394" t="s">
        <v>44</v>
      </c>
      <c r="H59" s="393"/>
      <c r="I59" s="387">
        <v>14</v>
      </c>
      <c r="J59" s="388"/>
      <c r="K59" s="388"/>
      <c r="L59" s="389">
        <f t="shared" si="13"/>
        <v>14</v>
      </c>
      <c r="M59" s="888"/>
      <c r="N59" s="390">
        <v>60000</v>
      </c>
      <c r="O59" s="390">
        <f t="shared" si="6"/>
        <v>840000</v>
      </c>
      <c r="P59" s="389" t="s">
        <v>30</v>
      </c>
      <c r="Q59" s="389">
        <f t="shared" si="7"/>
        <v>14</v>
      </c>
      <c r="R59" s="389" t="s">
        <v>243</v>
      </c>
      <c r="S59" s="390">
        <v>9500</v>
      </c>
      <c r="T59" s="390">
        <f t="shared" si="8"/>
        <v>133000</v>
      </c>
      <c r="U59" s="390">
        <f t="shared" si="9"/>
        <v>140000</v>
      </c>
      <c r="V59" s="390">
        <f t="shared" si="10"/>
        <v>2520000</v>
      </c>
      <c r="W59" s="390">
        <f t="shared" si="4"/>
        <v>0</v>
      </c>
      <c r="X59" s="361">
        <f t="shared" si="5"/>
        <v>0</v>
      </c>
      <c r="Y59" s="362">
        <f t="shared" si="11"/>
        <v>3633000</v>
      </c>
      <c r="Z59" s="363">
        <f t="shared" si="12"/>
        <v>3633000</v>
      </c>
      <c r="AA59" s="350" t="s">
        <v>244</v>
      </c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</row>
    <row r="60" spans="1:39" s="368" customFormat="1" ht="68.25" customHeight="1" hidden="1">
      <c r="A60" s="350">
        <v>26</v>
      </c>
      <c r="B60" s="378" t="s">
        <v>228</v>
      </c>
      <c r="C60" s="350">
        <v>48</v>
      </c>
      <c r="D60" s="350">
        <v>72</v>
      </c>
      <c r="E60" s="350">
        <v>197.1</v>
      </c>
      <c r="F60" s="350" t="s">
        <v>0</v>
      </c>
      <c r="G60" s="357" t="s">
        <v>43</v>
      </c>
      <c r="H60" s="394">
        <v>197.1</v>
      </c>
      <c r="I60" s="394"/>
      <c r="J60" s="388"/>
      <c r="K60" s="388"/>
      <c r="L60" s="389">
        <f t="shared" si="13"/>
        <v>197.1</v>
      </c>
      <c r="M60" s="399">
        <f aca="true" t="shared" si="14" ref="M60:M65">L60</f>
        <v>197.1</v>
      </c>
      <c r="N60" s="390">
        <v>60000</v>
      </c>
      <c r="O60" s="390">
        <f t="shared" si="6"/>
        <v>11826000</v>
      </c>
      <c r="P60" s="389" t="s">
        <v>30</v>
      </c>
      <c r="Q60" s="389">
        <f t="shared" si="7"/>
        <v>197.1</v>
      </c>
      <c r="R60" s="389" t="s">
        <v>243</v>
      </c>
      <c r="S60" s="390">
        <v>9500</v>
      </c>
      <c r="T60" s="390">
        <f t="shared" si="8"/>
        <v>1872450</v>
      </c>
      <c r="U60" s="390">
        <f t="shared" si="9"/>
        <v>1971000</v>
      </c>
      <c r="V60" s="390">
        <f t="shared" si="10"/>
        <v>35478000</v>
      </c>
      <c r="W60" s="390">
        <f t="shared" si="4"/>
        <v>1</v>
      </c>
      <c r="X60" s="361">
        <f t="shared" si="5"/>
        <v>3500000</v>
      </c>
      <c r="Y60" s="362">
        <f t="shared" si="11"/>
        <v>54647450</v>
      </c>
      <c r="Z60" s="363">
        <f t="shared" si="12"/>
        <v>54647450</v>
      </c>
      <c r="AA60" s="350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</row>
    <row r="61" spans="1:39" s="368" customFormat="1" ht="68.25" customHeight="1" hidden="1">
      <c r="A61" s="350">
        <v>27</v>
      </c>
      <c r="B61" s="378" t="s">
        <v>229</v>
      </c>
      <c r="C61" s="350">
        <v>82</v>
      </c>
      <c r="D61" s="350">
        <v>80</v>
      </c>
      <c r="E61" s="350">
        <v>149.7</v>
      </c>
      <c r="F61" s="350" t="s">
        <v>0</v>
      </c>
      <c r="G61" s="357" t="s">
        <v>32</v>
      </c>
      <c r="H61" s="394">
        <v>149.7</v>
      </c>
      <c r="I61" s="394"/>
      <c r="J61" s="388"/>
      <c r="K61" s="388"/>
      <c r="L61" s="389">
        <f>H61+I61+J61+K61</f>
        <v>149.7</v>
      </c>
      <c r="M61" s="399">
        <f t="shared" si="14"/>
        <v>149.7</v>
      </c>
      <c r="N61" s="390">
        <v>60000</v>
      </c>
      <c r="O61" s="390">
        <f t="shared" si="6"/>
        <v>8982000</v>
      </c>
      <c r="P61" s="389" t="s">
        <v>30</v>
      </c>
      <c r="Q61" s="389">
        <f t="shared" si="7"/>
        <v>149.7</v>
      </c>
      <c r="R61" s="389" t="s">
        <v>243</v>
      </c>
      <c r="S61" s="390">
        <v>9500</v>
      </c>
      <c r="T61" s="390">
        <f t="shared" si="8"/>
        <v>1422150</v>
      </c>
      <c r="U61" s="390">
        <f t="shared" si="9"/>
        <v>1497000</v>
      </c>
      <c r="V61" s="390">
        <f t="shared" si="10"/>
        <v>26946000</v>
      </c>
      <c r="W61" s="390">
        <f t="shared" si="4"/>
        <v>0</v>
      </c>
      <c r="X61" s="361">
        <f t="shared" si="5"/>
        <v>0</v>
      </c>
      <c r="Y61" s="362">
        <f t="shared" si="11"/>
        <v>38847150</v>
      </c>
      <c r="Z61" s="363">
        <f t="shared" si="12"/>
        <v>38847150</v>
      </c>
      <c r="AA61" s="350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</row>
    <row r="62" spans="1:39" s="368" customFormat="1" ht="68.25" customHeight="1" hidden="1">
      <c r="A62" s="350">
        <v>28</v>
      </c>
      <c r="B62" s="381" t="s">
        <v>231</v>
      </c>
      <c r="C62" s="350">
        <v>254</v>
      </c>
      <c r="D62" s="350">
        <v>72</v>
      </c>
      <c r="E62" s="350">
        <v>233.9</v>
      </c>
      <c r="F62" s="350" t="s">
        <v>45</v>
      </c>
      <c r="G62" s="357" t="s">
        <v>44</v>
      </c>
      <c r="H62" s="393"/>
      <c r="I62" s="394">
        <v>16.5</v>
      </c>
      <c r="J62" s="388"/>
      <c r="K62" s="388"/>
      <c r="L62" s="389">
        <f>H62+I62+J62+K62</f>
        <v>16.5</v>
      </c>
      <c r="M62" s="399">
        <f t="shared" si="14"/>
        <v>16.5</v>
      </c>
      <c r="N62" s="390">
        <v>60000</v>
      </c>
      <c r="O62" s="390">
        <f t="shared" si="6"/>
        <v>990000</v>
      </c>
      <c r="P62" s="389" t="s">
        <v>30</v>
      </c>
      <c r="Q62" s="389">
        <f t="shared" si="7"/>
        <v>16.5</v>
      </c>
      <c r="R62" s="389" t="s">
        <v>243</v>
      </c>
      <c r="S62" s="390">
        <v>9500</v>
      </c>
      <c r="T62" s="390">
        <f t="shared" si="8"/>
        <v>156750</v>
      </c>
      <c r="U62" s="390">
        <f t="shared" si="9"/>
        <v>165000</v>
      </c>
      <c r="V62" s="390">
        <f t="shared" si="10"/>
        <v>2970000</v>
      </c>
      <c r="W62" s="390">
        <f t="shared" si="4"/>
        <v>0</v>
      </c>
      <c r="X62" s="361">
        <f t="shared" si="5"/>
        <v>0</v>
      </c>
      <c r="Y62" s="362">
        <f t="shared" si="11"/>
        <v>4281750</v>
      </c>
      <c r="Z62" s="363">
        <f t="shared" si="12"/>
        <v>4281750</v>
      </c>
      <c r="AA62" s="350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</row>
    <row r="63" spans="1:39" s="368" customFormat="1" ht="68.25" customHeight="1" hidden="1">
      <c r="A63" s="350">
        <v>29</v>
      </c>
      <c r="B63" s="381" t="s">
        <v>232</v>
      </c>
      <c r="C63" s="350">
        <v>213</v>
      </c>
      <c r="D63" s="350">
        <v>72</v>
      </c>
      <c r="E63" s="350">
        <v>328.1</v>
      </c>
      <c r="F63" s="350" t="s">
        <v>45</v>
      </c>
      <c r="G63" s="357" t="s">
        <v>44</v>
      </c>
      <c r="H63" s="394">
        <v>217.4</v>
      </c>
      <c r="I63" s="394"/>
      <c r="J63" s="388"/>
      <c r="K63" s="388"/>
      <c r="L63" s="389">
        <f>H63+I63+J63+K63</f>
        <v>217.4</v>
      </c>
      <c r="M63" s="399">
        <f t="shared" si="14"/>
        <v>217.4</v>
      </c>
      <c r="N63" s="390">
        <v>60000</v>
      </c>
      <c r="O63" s="390">
        <f t="shared" si="6"/>
        <v>13044000</v>
      </c>
      <c r="P63" s="389" t="s">
        <v>30</v>
      </c>
      <c r="Q63" s="389">
        <f t="shared" si="7"/>
        <v>217.4</v>
      </c>
      <c r="R63" s="389" t="s">
        <v>243</v>
      </c>
      <c r="S63" s="390">
        <v>9500</v>
      </c>
      <c r="T63" s="390">
        <f t="shared" si="8"/>
        <v>2065300</v>
      </c>
      <c r="U63" s="390">
        <f t="shared" si="9"/>
        <v>2174000</v>
      </c>
      <c r="V63" s="390">
        <f t="shared" si="10"/>
        <v>39132000</v>
      </c>
      <c r="W63" s="390">
        <f t="shared" si="4"/>
        <v>1</v>
      </c>
      <c r="X63" s="361">
        <f t="shared" si="5"/>
        <v>3500000</v>
      </c>
      <c r="Y63" s="362">
        <f t="shared" si="11"/>
        <v>59915300</v>
      </c>
      <c r="Z63" s="363">
        <f t="shared" si="12"/>
        <v>59915300</v>
      </c>
      <c r="AA63" s="350" t="s">
        <v>244</v>
      </c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</row>
    <row r="64" spans="1:39" s="368" customFormat="1" ht="68.25" customHeight="1" hidden="1">
      <c r="A64" s="350">
        <v>30</v>
      </c>
      <c r="B64" s="381" t="s">
        <v>233</v>
      </c>
      <c r="C64" s="350">
        <v>81</v>
      </c>
      <c r="D64" s="350">
        <v>82</v>
      </c>
      <c r="E64" s="350">
        <v>356.3</v>
      </c>
      <c r="F64" s="350" t="s">
        <v>0</v>
      </c>
      <c r="G64" s="357" t="s">
        <v>68</v>
      </c>
      <c r="H64" s="394">
        <v>356.3</v>
      </c>
      <c r="I64" s="394"/>
      <c r="J64" s="388"/>
      <c r="K64" s="388"/>
      <c r="L64" s="389">
        <f>H64+I64+J64+K64</f>
        <v>356.3</v>
      </c>
      <c r="M64" s="399">
        <f t="shared" si="14"/>
        <v>356.3</v>
      </c>
      <c r="N64" s="390">
        <v>60000</v>
      </c>
      <c r="O64" s="390">
        <f t="shared" si="6"/>
        <v>21378000</v>
      </c>
      <c r="P64" s="389" t="s">
        <v>30</v>
      </c>
      <c r="Q64" s="389">
        <f t="shared" si="7"/>
        <v>356.3</v>
      </c>
      <c r="R64" s="389" t="s">
        <v>243</v>
      </c>
      <c r="S64" s="390">
        <v>9500</v>
      </c>
      <c r="T64" s="390">
        <f t="shared" si="8"/>
        <v>3384850</v>
      </c>
      <c r="U64" s="390">
        <f t="shared" si="9"/>
        <v>3563000</v>
      </c>
      <c r="V64" s="390">
        <f t="shared" si="10"/>
        <v>64134000</v>
      </c>
      <c r="W64" s="390">
        <f>INT(M64/176.4)</f>
        <v>2</v>
      </c>
      <c r="X64" s="361">
        <f t="shared" si="5"/>
        <v>7000000</v>
      </c>
      <c r="Y64" s="362">
        <f t="shared" si="11"/>
        <v>99459850</v>
      </c>
      <c r="Z64" s="363">
        <f t="shared" si="12"/>
        <v>99459850</v>
      </c>
      <c r="AA64" s="350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</row>
    <row r="65" spans="1:39" s="368" customFormat="1" ht="68.25" customHeight="1" hidden="1">
      <c r="A65" s="350">
        <v>31</v>
      </c>
      <c r="B65" s="381" t="s">
        <v>234</v>
      </c>
      <c r="C65" s="350">
        <v>53</v>
      </c>
      <c r="D65" s="350">
        <v>72</v>
      </c>
      <c r="E65" s="350">
        <v>160.8</v>
      </c>
      <c r="F65" s="350" t="s">
        <v>0</v>
      </c>
      <c r="G65" s="394" t="s">
        <v>43</v>
      </c>
      <c r="H65" s="393"/>
      <c r="I65" s="394">
        <v>160.8</v>
      </c>
      <c r="J65" s="388"/>
      <c r="K65" s="388"/>
      <c r="L65" s="389">
        <f>H65+I65+J65+K65</f>
        <v>160.8</v>
      </c>
      <c r="M65" s="399">
        <f t="shared" si="14"/>
        <v>160.8</v>
      </c>
      <c r="N65" s="390">
        <v>60000</v>
      </c>
      <c r="O65" s="390">
        <f t="shared" si="6"/>
        <v>9648000</v>
      </c>
      <c r="P65" s="389" t="s">
        <v>30</v>
      </c>
      <c r="Q65" s="389">
        <f t="shared" si="7"/>
        <v>160.8</v>
      </c>
      <c r="R65" s="389" t="s">
        <v>243</v>
      </c>
      <c r="S65" s="390">
        <v>9500</v>
      </c>
      <c r="T65" s="390">
        <f t="shared" si="8"/>
        <v>1527600</v>
      </c>
      <c r="U65" s="390">
        <f t="shared" si="9"/>
        <v>1608000</v>
      </c>
      <c r="V65" s="390">
        <f t="shared" si="10"/>
        <v>28944000</v>
      </c>
      <c r="W65" s="390">
        <f>SUM(W67:W70)</f>
        <v>1</v>
      </c>
      <c r="X65" s="361">
        <f t="shared" si="5"/>
        <v>3500000</v>
      </c>
      <c r="Y65" s="362">
        <f t="shared" si="11"/>
        <v>45227600</v>
      </c>
      <c r="Z65" s="363">
        <f t="shared" si="12"/>
        <v>45227600</v>
      </c>
      <c r="AA65" s="350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</row>
    <row r="66" spans="1:39" s="371" customFormat="1" ht="68.25" customHeight="1">
      <c r="A66" s="369" t="s">
        <v>67</v>
      </c>
      <c r="B66" s="382" t="s">
        <v>59</v>
      </c>
      <c r="C66" s="369"/>
      <c r="D66" s="369"/>
      <c r="E66" s="370"/>
      <c r="F66" s="369"/>
      <c r="G66" s="395"/>
      <c r="H66" s="389">
        <f aca="true" t="shared" si="15" ref="H66:M66">SUM(H67:H75)</f>
        <v>0</v>
      </c>
      <c r="I66" s="389">
        <f t="shared" si="15"/>
        <v>897.2999999999998</v>
      </c>
      <c r="J66" s="389">
        <f t="shared" si="15"/>
        <v>0</v>
      </c>
      <c r="K66" s="389">
        <f t="shared" si="15"/>
        <v>0</v>
      </c>
      <c r="L66" s="389">
        <f t="shared" si="15"/>
        <v>897.2999999999998</v>
      </c>
      <c r="M66" s="389">
        <f t="shared" si="15"/>
        <v>897.3</v>
      </c>
      <c r="N66" s="389"/>
      <c r="O66" s="389">
        <f>SUM(O67:O75)</f>
        <v>53838000</v>
      </c>
      <c r="P66" s="389"/>
      <c r="Q66" s="389">
        <f>SUM(Q67:Q75)</f>
        <v>897.2999999999998</v>
      </c>
      <c r="R66" s="389"/>
      <c r="S66" s="389">
        <f aca="true" t="shared" si="16" ref="S66:Z66">SUM(S67:S75)</f>
        <v>85500</v>
      </c>
      <c r="T66" s="390">
        <f t="shared" si="16"/>
        <v>8524350</v>
      </c>
      <c r="U66" s="390">
        <f t="shared" si="16"/>
        <v>8973000</v>
      </c>
      <c r="V66" s="390">
        <f t="shared" si="16"/>
        <v>161514000</v>
      </c>
      <c r="W66" s="390">
        <f t="shared" si="16"/>
        <v>3</v>
      </c>
      <c r="X66" s="390">
        <f t="shared" si="16"/>
        <v>10500000</v>
      </c>
      <c r="Y66" s="390">
        <f t="shared" si="16"/>
        <v>243349350</v>
      </c>
      <c r="Z66" s="390">
        <f t="shared" si="16"/>
        <v>243349350</v>
      </c>
      <c r="AA66" s="350"/>
      <c r="AB66" s="364"/>
      <c r="AC66" s="364"/>
      <c r="AD66" s="364"/>
      <c r="AE66" s="364"/>
      <c r="AF66" s="365"/>
      <c r="AG66" s="365"/>
      <c r="AH66" s="365"/>
      <c r="AI66" s="365"/>
      <c r="AJ66" s="365"/>
      <c r="AK66" s="365"/>
      <c r="AL66" s="365"/>
      <c r="AM66" s="365"/>
    </row>
    <row r="67" spans="1:39" s="368" customFormat="1" ht="68.25" customHeight="1">
      <c r="A67" s="346">
        <v>1</v>
      </c>
      <c r="B67" s="377" t="s">
        <v>209</v>
      </c>
      <c r="C67" s="347">
        <v>182</v>
      </c>
      <c r="D67" s="347">
        <v>72</v>
      </c>
      <c r="E67" s="348">
        <v>102.7</v>
      </c>
      <c r="F67" s="347" t="s">
        <v>45</v>
      </c>
      <c r="G67" s="385" t="s">
        <v>44</v>
      </c>
      <c r="H67" s="386"/>
      <c r="I67" s="387">
        <v>102.7</v>
      </c>
      <c r="J67" s="388"/>
      <c r="K67" s="388"/>
      <c r="L67" s="389">
        <f aca="true" t="shared" si="17" ref="L67:L75">H67+I67+J67+K67</f>
        <v>102.7</v>
      </c>
      <c r="M67" s="886">
        <f>SUM(L67:L70)</f>
        <v>303.7</v>
      </c>
      <c r="N67" s="390">
        <v>60000</v>
      </c>
      <c r="O67" s="390">
        <f t="shared" si="6"/>
        <v>6162000</v>
      </c>
      <c r="P67" s="389" t="s">
        <v>30</v>
      </c>
      <c r="Q67" s="389">
        <f t="shared" si="7"/>
        <v>102.7</v>
      </c>
      <c r="R67" s="389" t="s">
        <v>243</v>
      </c>
      <c r="S67" s="390">
        <v>9500</v>
      </c>
      <c r="T67" s="390">
        <f t="shared" si="8"/>
        <v>975650</v>
      </c>
      <c r="U67" s="390">
        <f t="shared" si="9"/>
        <v>1027000</v>
      </c>
      <c r="V67" s="390">
        <f t="shared" si="10"/>
        <v>18486000</v>
      </c>
      <c r="W67" s="390">
        <f>INT(M67/176.4)</f>
        <v>1</v>
      </c>
      <c r="X67" s="361">
        <f t="shared" si="5"/>
        <v>3500000</v>
      </c>
      <c r="Y67" s="362">
        <f t="shared" si="11"/>
        <v>30150650</v>
      </c>
      <c r="Z67" s="363">
        <f t="shared" si="12"/>
        <v>30150650</v>
      </c>
      <c r="AA67" s="350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5"/>
    </row>
    <row r="68" spans="1:39" s="368" customFormat="1" ht="68.25" customHeight="1">
      <c r="A68" s="346">
        <v>1</v>
      </c>
      <c r="B68" s="377" t="s">
        <v>209</v>
      </c>
      <c r="C68" s="347">
        <v>55</v>
      </c>
      <c r="D68" s="347">
        <v>72</v>
      </c>
      <c r="E68" s="348">
        <v>58.6</v>
      </c>
      <c r="F68" s="347" t="s">
        <v>0</v>
      </c>
      <c r="G68" s="385" t="s">
        <v>44</v>
      </c>
      <c r="H68" s="386"/>
      <c r="I68" s="387">
        <v>58.6</v>
      </c>
      <c r="J68" s="388"/>
      <c r="K68" s="388"/>
      <c r="L68" s="389">
        <f t="shared" si="17"/>
        <v>58.6</v>
      </c>
      <c r="M68" s="887"/>
      <c r="N68" s="390">
        <v>60000</v>
      </c>
      <c r="O68" s="390">
        <f t="shared" si="6"/>
        <v>3516000</v>
      </c>
      <c r="P68" s="389" t="s">
        <v>30</v>
      </c>
      <c r="Q68" s="389">
        <f t="shared" si="7"/>
        <v>58.6</v>
      </c>
      <c r="R68" s="389" t="s">
        <v>243</v>
      </c>
      <c r="S68" s="390">
        <v>9500</v>
      </c>
      <c r="T68" s="390">
        <f t="shared" si="8"/>
        <v>556700</v>
      </c>
      <c r="U68" s="390">
        <f t="shared" si="9"/>
        <v>586000</v>
      </c>
      <c r="V68" s="390">
        <f t="shared" si="10"/>
        <v>10548000</v>
      </c>
      <c r="W68" s="390">
        <f>SUM(W69:W71)</f>
        <v>0</v>
      </c>
      <c r="X68" s="361">
        <f t="shared" si="5"/>
        <v>0</v>
      </c>
      <c r="Y68" s="362">
        <f t="shared" si="11"/>
        <v>15206700</v>
      </c>
      <c r="Z68" s="363">
        <f t="shared" si="12"/>
        <v>15206700</v>
      </c>
      <c r="AA68" s="350"/>
      <c r="AB68" s="365"/>
      <c r="AC68" s="365"/>
      <c r="AD68" s="365"/>
      <c r="AE68" s="365"/>
      <c r="AF68" s="365"/>
      <c r="AG68" s="365"/>
      <c r="AH68" s="365"/>
      <c r="AI68" s="365"/>
      <c r="AJ68" s="365"/>
      <c r="AK68" s="365"/>
      <c r="AL68" s="365"/>
      <c r="AM68" s="365"/>
    </row>
    <row r="69" spans="1:39" s="368" customFormat="1" ht="68.25" customHeight="1">
      <c r="A69" s="352">
        <v>1</v>
      </c>
      <c r="B69" s="383" t="s">
        <v>209</v>
      </c>
      <c r="C69" s="353">
        <v>60</v>
      </c>
      <c r="D69" s="353">
        <v>81</v>
      </c>
      <c r="E69" s="354">
        <v>52.7</v>
      </c>
      <c r="F69" s="353" t="s">
        <v>45</v>
      </c>
      <c r="G69" s="385" t="s">
        <v>37</v>
      </c>
      <c r="H69" s="386"/>
      <c r="I69" s="397">
        <v>52.7</v>
      </c>
      <c r="J69" s="388"/>
      <c r="K69" s="388"/>
      <c r="L69" s="395">
        <f t="shared" si="17"/>
        <v>52.7</v>
      </c>
      <c r="M69" s="887"/>
      <c r="N69" s="396">
        <v>60000</v>
      </c>
      <c r="O69" s="396">
        <f t="shared" si="6"/>
        <v>3162000</v>
      </c>
      <c r="P69" s="395" t="s">
        <v>30</v>
      </c>
      <c r="Q69" s="395">
        <f t="shared" si="7"/>
        <v>52.7</v>
      </c>
      <c r="R69" s="395" t="s">
        <v>243</v>
      </c>
      <c r="S69" s="396">
        <v>9500</v>
      </c>
      <c r="T69" s="396">
        <f t="shared" si="8"/>
        <v>500650</v>
      </c>
      <c r="U69" s="396">
        <f t="shared" si="9"/>
        <v>527000</v>
      </c>
      <c r="V69" s="396">
        <f t="shared" si="10"/>
        <v>9486000</v>
      </c>
      <c r="W69" s="390">
        <f>INT(M69/176.4)</f>
        <v>0</v>
      </c>
      <c r="X69" s="361">
        <f t="shared" si="5"/>
        <v>0</v>
      </c>
      <c r="Y69" s="362">
        <f t="shared" si="11"/>
        <v>13675650</v>
      </c>
      <c r="Z69" s="363">
        <f t="shared" si="12"/>
        <v>13675650</v>
      </c>
      <c r="AA69" s="369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</row>
    <row r="70" spans="1:39" s="368" customFormat="1" ht="68.25" customHeight="1">
      <c r="A70" s="346">
        <v>1</v>
      </c>
      <c r="B70" s="377" t="s">
        <v>209</v>
      </c>
      <c r="C70" s="347">
        <v>105</v>
      </c>
      <c r="D70" s="347">
        <v>72</v>
      </c>
      <c r="E70" s="348">
        <v>89.7</v>
      </c>
      <c r="F70" s="347" t="s">
        <v>45</v>
      </c>
      <c r="G70" s="385" t="s">
        <v>44</v>
      </c>
      <c r="H70" s="386"/>
      <c r="I70" s="387">
        <v>89.7</v>
      </c>
      <c r="J70" s="398"/>
      <c r="K70" s="398"/>
      <c r="L70" s="389">
        <f t="shared" si="17"/>
        <v>89.7</v>
      </c>
      <c r="M70" s="888"/>
      <c r="N70" s="390">
        <v>60000</v>
      </c>
      <c r="O70" s="390">
        <f t="shared" si="6"/>
        <v>5382000</v>
      </c>
      <c r="P70" s="389" t="s">
        <v>30</v>
      </c>
      <c r="Q70" s="389">
        <f t="shared" si="7"/>
        <v>89.7</v>
      </c>
      <c r="R70" s="389" t="s">
        <v>243</v>
      </c>
      <c r="S70" s="390">
        <v>9500</v>
      </c>
      <c r="T70" s="390">
        <f t="shared" si="8"/>
        <v>852150</v>
      </c>
      <c r="U70" s="390">
        <f t="shared" si="9"/>
        <v>897000</v>
      </c>
      <c r="V70" s="390">
        <f t="shared" si="10"/>
        <v>16146000</v>
      </c>
      <c r="W70" s="390">
        <f>SUM(W71:W71)</f>
        <v>0</v>
      </c>
      <c r="X70" s="361">
        <f t="shared" si="5"/>
        <v>0</v>
      </c>
      <c r="Y70" s="362">
        <f t="shared" si="11"/>
        <v>23277150</v>
      </c>
      <c r="Z70" s="363">
        <f t="shared" si="12"/>
        <v>23277150</v>
      </c>
      <c r="AA70" s="350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5"/>
    </row>
    <row r="71" spans="1:39" s="368" customFormat="1" ht="68.25" customHeight="1">
      <c r="A71" s="350">
        <v>2</v>
      </c>
      <c r="B71" s="378" t="s">
        <v>230</v>
      </c>
      <c r="C71" s="350">
        <v>43</v>
      </c>
      <c r="D71" s="350">
        <v>81</v>
      </c>
      <c r="E71" s="350">
        <v>79.5</v>
      </c>
      <c r="F71" s="350" t="s">
        <v>0</v>
      </c>
      <c r="G71" s="350" t="s">
        <v>37</v>
      </c>
      <c r="H71" s="356"/>
      <c r="I71" s="350">
        <v>79.5</v>
      </c>
      <c r="L71" s="358">
        <f t="shared" si="17"/>
        <v>79.5</v>
      </c>
      <c r="M71" s="372">
        <f>L71</f>
        <v>79.5</v>
      </c>
      <c r="N71" s="360">
        <v>60000</v>
      </c>
      <c r="O71" s="360">
        <f t="shared" si="6"/>
        <v>4770000</v>
      </c>
      <c r="P71" s="358" t="s">
        <v>30</v>
      </c>
      <c r="Q71" s="358">
        <f t="shared" si="7"/>
        <v>79.5</v>
      </c>
      <c r="R71" s="358" t="s">
        <v>241</v>
      </c>
      <c r="S71" s="360">
        <v>9500</v>
      </c>
      <c r="T71" s="360">
        <f t="shared" si="8"/>
        <v>755250</v>
      </c>
      <c r="U71" s="360">
        <f t="shared" si="9"/>
        <v>795000</v>
      </c>
      <c r="V71" s="360">
        <f t="shared" si="10"/>
        <v>14310000</v>
      </c>
      <c r="W71" s="360">
        <v>0</v>
      </c>
      <c r="X71" s="361">
        <f t="shared" si="5"/>
        <v>0</v>
      </c>
      <c r="Y71" s="362">
        <f t="shared" si="11"/>
        <v>20630250</v>
      </c>
      <c r="Z71" s="373">
        <f t="shared" si="12"/>
        <v>20630250</v>
      </c>
      <c r="AA71" s="350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</row>
    <row r="72" spans="1:39" s="368" customFormat="1" ht="68.25" customHeight="1">
      <c r="A72" s="346">
        <v>3</v>
      </c>
      <c r="B72" s="379" t="s">
        <v>216</v>
      </c>
      <c r="C72" s="347">
        <v>18</v>
      </c>
      <c r="D72" s="347">
        <v>71</v>
      </c>
      <c r="E72" s="348">
        <v>126.1</v>
      </c>
      <c r="F72" s="347" t="s">
        <v>45</v>
      </c>
      <c r="G72" s="391" t="s">
        <v>32</v>
      </c>
      <c r="H72" s="393"/>
      <c r="I72" s="387">
        <v>126.1</v>
      </c>
      <c r="J72" s="388"/>
      <c r="K72" s="388"/>
      <c r="L72" s="389">
        <f t="shared" si="17"/>
        <v>126.1</v>
      </c>
      <c r="M72" s="886">
        <f>L72+L73+L74+L75</f>
        <v>514.1</v>
      </c>
      <c r="N72" s="390">
        <v>60000</v>
      </c>
      <c r="O72" s="390">
        <f>L72*N72</f>
        <v>7566000</v>
      </c>
      <c r="P72" s="389" t="s">
        <v>30</v>
      </c>
      <c r="Q72" s="389">
        <f>L72</f>
        <v>126.1</v>
      </c>
      <c r="R72" s="389" t="s">
        <v>243</v>
      </c>
      <c r="S72" s="390">
        <v>9500</v>
      </c>
      <c r="T72" s="390">
        <f>Q72*S72</f>
        <v>1197950</v>
      </c>
      <c r="U72" s="390">
        <f>L72*10000</f>
        <v>1261000</v>
      </c>
      <c r="V72" s="390">
        <f>L72*N72*3</f>
        <v>22698000</v>
      </c>
      <c r="W72" s="390">
        <f>INT(M72/176.4)</f>
        <v>2</v>
      </c>
      <c r="X72" s="361">
        <f t="shared" si="5"/>
        <v>7000000</v>
      </c>
      <c r="Y72" s="362">
        <f t="shared" si="11"/>
        <v>39722950</v>
      </c>
      <c r="Z72" s="363">
        <f t="shared" si="12"/>
        <v>39722950</v>
      </c>
      <c r="AA72" s="350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</row>
    <row r="73" spans="1:39" s="368" customFormat="1" ht="68.25" customHeight="1">
      <c r="A73" s="346">
        <v>3</v>
      </c>
      <c r="B73" s="379" t="s">
        <v>216</v>
      </c>
      <c r="C73" s="347">
        <v>25</v>
      </c>
      <c r="D73" s="347">
        <v>71</v>
      </c>
      <c r="E73" s="348">
        <v>131.3</v>
      </c>
      <c r="F73" s="347" t="s">
        <v>45</v>
      </c>
      <c r="G73" s="391" t="s">
        <v>32</v>
      </c>
      <c r="H73" s="393"/>
      <c r="I73" s="387">
        <v>131.3</v>
      </c>
      <c r="J73" s="388"/>
      <c r="K73" s="388"/>
      <c r="L73" s="389">
        <f t="shared" si="17"/>
        <v>131.3</v>
      </c>
      <c r="M73" s="887"/>
      <c r="N73" s="390">
        <v>60000</v>
      </c>
      <c r="O73" s="390">
        <f>L73*N73</f>
        <v>7878000.000000001</v>
      </c>
      <c r="P73" s="389" t="s">
        <v>30</v>
      </c>
      <c r="Q73" s="389">
        <f>L73</f>
        <v>131.3</v>
      </c>
      <c r="R73" s="389" t="s">
        <v>243</v>
      </c>
      <c r="S73" s="390">
        <v>9500</v>
      </c>
      <c r="T73" s="390">
        <f>Q73*S73</f>
        <v>1247350</v>
      </c>
      <c r="U73" s="390">
        <f>L73*10000</f>
        <v>1313000</v>
      </c>
      <c r="V73" s="390">
        <f>L73*N73*3</f>
        <v>23634000.000000004</v>
      </c>
      <c r="W73" s="390">
        <f>INT(M73/176.4)</f>
        <v>0</v>
      </c>
      <c r="X73" s="361">
        <f t="shared" si="5"/>
        <v>0</v>
      </c>
      <c r="Y73" s="362">
        <f t="shared" si="11"/>
        <v>34072350</v>
      </c>
      <c r="Z73" s="363">
        <f t="shared" si="12"/>
        <v>34072350</v>
      </c>
      <c r="AA73" s="350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</row>
    <row r="74" spans="1:39" s="368" customFormat="1" ht="68.25" customHeight="1">
      <c r="A74" s="346">
        <v>3</v>
      </c>
      <c r="B74" s="379" t="s">
        <v>216</v>
      </c>
      <c r="C74" s="347">
        <v>114</v>
      </c>
      <c r="D74" s="347">
        <v>71</v>
      </c>
      <c r="E74" s="348">
        <v>153.3</v>
      </c>
      <c r="F74" s="347" t="s">
        <v>45</v>
      </c>
      <c r="G74" s="391" t="s">
        <v>32</v>
      </c>
      <c r="H74" s="393"/>
      <c r="I74" s="387">
        <v>153.3</v>
      </c>
      <c r="J74" s="388"/>
      <c r="K74" s="388"/>
      <c r="L74" s="389">
        <f t="shared" si="17"/>
        <v>153.3</v>
      </c>
      <c r="M74" s="887"/>
      <c r="N74" s="390">
        <v>60000</v>
      </c>
      <c r="O74" s="390">
        <f>L74*N74</f>
        <v>9198000</v>
      </c>
      <c r="P74" s="389" t="s">
        <v>30</v>
      </c>
      <c r="Q74" s="389">
        <f>L74</f>
        <v>153.3</v>
      </c>
      <c r="R74" s="389" t="s">
        <v>243</v>
      </c>
      <c r="S74" s="390">
        <v>9500</v>
      </c>
      <c r="T74" s="390">
        <f>Q74*S74</f>
        <v>1456350</v>
      </c>
      <c r="U74" s="390">
        <f>L74*10000</f>
        <v>1533000</v>
      </c>
      <c r="V74" s="390">
        <f>L74*N74*3</f>
        <v>27594000</v>
      </c>
      <c r="W74" s="390">
        <f>INT(M74/176.4)</f>
        <v>0</v>
      </c>
      <c r="X74" s="361">
        <f t="shared" si="5"/>
        <v>0</v>
      </c>
      <c r="Y74" s="362">
        <f t="shared" si="11"/>
        <v>39781350</v>
      </c>
      <c r="Z74" s="363">
        <f t="shared" si="12"/>
        <v>39781350</v>
      </c>
      <c r="AA74" s="350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5"/>
    </row>
    <row r="75" spans="1:39" s="368" customFormat="1" ht="68.25" customHeight="1">
      <c r="A75" s="346">
        <v>3</v>
      </c>
      <c r="B75" s="379" t="s">
        <v>216</v>
      </c>
      <c r="C75" s="347">
        <v>118</v>
      </c>
      <c r="D75" s="347">
        <v>71</v>
      </c>
      <c r="E75" s="348">
        <v>103.4</v>
      </c>
      <c r="F75" s="347" t="s">
        <v>0</v>
      </c>
      <c r="G75" s="391" t="s">
        <v>32</v>
      </c>
      <c r="H75" s="393"/>
      <c r="I75" s="387">
        <v>103.4</v>
      </c>
      <c r="J75" s="388"/>
      <c r="K75" s="388"/>
      <c r="L75" s="389">
        <f t="shared" si="17"/>
        <v>103.4</v>
      </c>
      <c r="M75" s="888"/>
      <c r="N75" s="390">
        <v>60000</v>
      </c>
      <c r="O75" s="390">
        <f>L75*N75</f>
        <v>6204000</v>
      </c>
      <c r="P75" s="389" t="s">
        <v>30</v>
      </c>
      <c r="Q75" s="389">
        <f>L75</f>
        <v>103.4</v>
      </c>
      <c r="R75" s="389" t="s">
        <v>243</v>
      </c>
      <c r="S75" s="390">
        <v>9500</v>
      </c>
      <c r="T75" s="390">
        <f>Q75*S75</f>
        <v>982300</v>
      </c>
      <c r="U75" s="390">
        <f>L75*10000</f>
        <v>1034000</v>
      </c>
      <c r="V75" s="390">
        <f>L75*N75*3</f>
        <v>18612000</v>
      </c>
      <c r="W75" s="390">
        <f>INT(M75/176.4)</f>
        <v>0</v>
      </c>
      <c r="X75" s="361">
        <f>W75*3500000</f>
        <v>0</v>
      </c>
      <c r="Y75" s="362">
        <f t="shared" si="11"/>
        <v>26832300</v>
      </c>
      <c r="Z75" s="373">
        <f t="shared" si="12"/>
        <v>26832300</v>
      </c>
      <c r="AA75" s="350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</row>
    <row r="76" ht="78" customHeight="1"/>
    <row r="77" ht="78" customHeight="1"/>
    <row r="78" ht="78" customHeight="1"/>
    <row r="79" ht="78" customHeight="1"/>
    <row r="80" ht="78" customHeight="1"/>
    <row r="81" ht="78" customHeight="1"/>
    <row r="82" ht="78" customHeight="1"/>
    <row r="83" ht="78" customHeight="1"/>
    <row r="84" ht="78" customHeight="1"/>
    <row r="85" ht="78" customHeight="1"/>
    <row r="86" ht="78" customHeight="1"/>
    <row r="87" ht="78" customHeight="1"/>
    <row r="88" ht="78" customHeight="1"/>
    <row r="89" ht="78" customHeight="1"/>
  </sheetData>
  <sheetProtection/>
  <autoFilter ref="A7:AA75"/>
  <mergeCells count="31">
    <mergeCell ref="A1:AA1"/>
    <mergeCell ref="A2:AA2"/>
    <mergeCell ref="A4:AA4"/>
    <mergeCell ref="A5:A6"/>
    <mergeCell ref="B5:B6"/>
    <mergeCell ref="C5:F5"/>
    <mergeCell ref="G5:G6"/>
    <mergeCell ref="H5:I5"/>
    <mergeCell ref="AA5:AA6"/>
    <mergeCell ref="Z5:Z6"/>
    <mergeCell ref="A8:B8"/>
    <mergeCell ref="M10:M12"/>
    <mergeCell ref="M14:M16"/>
    <mergeCell ref="J5:K5"/>
    <mergeCell ref="L5:L6"/>
    <mergeCell ref="Y5:Y6"/>
    <mergeCell ref="M18:M19"/>
    <mergeCell ref="M20:M21"/>
    <mergeCell ref="M5:M6"/>
    <mergeCell ref="N5:O5"/>
    <mergeCell ref="P5:T5"/>
    <mergeCell ref="U5:X5"/>
    <mergeCell ref="M56:M59"/>
    <mergeCell ref="M67:M70"/>
    <mergeCell ref="M72:M75"/>
    <mergeCell ref="M22:M25"/>
    <mergeCell ref="M26:M27"/>
    <mergeCell ref="M31:M34"/>
    <mergeCell ref="M39:M44"/>
    <mergeCell ref="M49:M50"/>
    <mergeCell ref="M51:M54"/>
  </mergeCells>
  <printOptions/>
  <pageMargins left="0.393700787401575" right="0.393700787401575" top="0.393700787401575" bottom="0.393700787401575" header="0.118109142607174" footer="0.118109142607174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R64"/>
  <sheetViews>
    <sheetView view="pageBreakPreview" zoomScale="50" zoomScaleNormal="76" zoomScaleSheetLayoutView="50" zoomScalePageLayoutView="0" workbookViewId="0" topLeftCell="A1">
      <pane ySplit="5" topLeftCell="A31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12.7109375" style="505" bestFit="1" customWidth="1"/>
    <col min="2" max="2" width="52.7109375" style="384" customWidth="1"/>
    <col min="3" max="4" width="9.7109375" style="345" customWidth="1"/>
    <col min="5" max="5" width="12.7109375" style="345" customWidth="1"/>
    <col min="6" max="6" width="10.28125" style="345" customWidth="1"/>
    <col min="7" max="7" width="25.28125" style="345" customWidth="1"/>
    <col min="8" max="8" width="13.28125" style="345" customWidth="1"/>
    <col min="9" max="11" width="15.28125" style="345" customWidth="1"/>
    <col min="12" max="13" width="17.7109375" style="345" customWidth="1"/>
    <col min="14" max="14" width="15.140625" style="506" customWidth="1"/>
    <col min="15" max="15" width="16.57421875" style="345" customWidth="1"/>
    <col min="16" max="16" width="11.7109375" style="345" customWidth="1"/>
    <col min="17" max="19" width="21.7109375" style="345" customWidth="1"/>
    <col min="20" max="20" width="19.7109375" style="345" customWidth="1"/>
    <col min="21" max="21" width="11.57421875" style="345" customWidth="1"/>
    <col min="22" max="22" width="14.57421875" style="345" customWidth="1"/>
    <col min="23" max="23" width="16.57421875" style="345" customWidth="1"/>
    <col min="24" max="24" width="19.28125" style="345" customWidth="1"/>
    <col min="25" max="25" width="13.7109375" style="345" customWidth="1"/>
    <col min="26" max="26" width="19.28125" style="345" customWidth="1"/>
    <col min="27" max="27" width="22.8515625" style="345" customWidth="1"/>
    <col min="28" max="28" width="9.7109375" style="506" customWidth="1"/>
    <col min="29" max="29" width="19.28125" style="336" customWidth="1"/>
    <col min="30" max="30" width="21.7109375" style="345" customWidth="1"/>
    <col min="31" max="31" width="20.140625" style="345" customWidth="1"/>
    <col min="32" max="32" width="15.140625" style="345" customWidth="1"/>
    <col min="33" max="34" width="0" style="336" hidden="1" customWidth="1"/>
    <col min="35" max="35" width="20.00390625" style="336" hidden="1" customWidth="1"/>
    <col min="36" max="36" width="0" style="336" hidden="1" customWidth="1"/>
    <col min="37" max="37" width="24.57421875" style="336" hidden="1" customWidth="1"/>
    <col min="38" max="40" width="9.140625" style="336" customWidth="1"/>
    <col min="41" max="41" width="20.421875" style="336" customWidth="1"/>
    <col min="42" max="44" width="9.140625" style="336" customWidth="1"/>
    <col min="45" max="16384" width="9.140625" style="345" customWidth="1"/>
  </cols>
  <sheetData>
    <row r="1" spans="1:36" ht="35.25" customHeight="1">
      <c r="A1" s="904" t="s">
        <v>293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  <c r="V1" s="904"/>
      <c r="W1" s="904"/>
      <c r="X1" s="904"/>
      <c r="Y1" s="904"/>
      <c r="Z1" s="904"/>
      <c r="AA1" s="904"/>
      <c r="AB1" s="904"/>
      <c r="AC1" s="904"/>
      <c r="AD1" s="904"/>
      <c r="AE1" s="904"/>
      <c r="AF1" s="904"/>
      <c r="AG1" s="334"/>
      <c r="AH1" s="335"/>
      <c r="AI1" s="335"/>
      <c r="AJ1" s="335"/>
    </row>
    <row r="2" spans="1:36" ht="35.25" customHeight="1">
      <c r="A2" s="904" t="s">
        <v>48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904"/>
      <c r="AB2" s="904"/>
      <c r="AC2" s="904"/>
      <c r="AD2" s="904"/>
      <c r="AE2" s="904"/>
      <c r="AF2" s="904"/>
      <c r="AG2" s="334"/>
      <c r="AH2" s="335"/>
      <c r="AI2" s="335"/>
      <c r="AJ2" s="335"/>
    </row>
    <row r="3" spans="1:36" ht="35.25" customHeight="1">
      <c r="A3" s="904" t="s">
        <v>239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334"/>
      <c r="AH3" s="335"/>
      <c r="AI3" s="335"/>
      <c r="AJ3" s="335"/>
    </row>
    <row r="4" spans="1:36" ht="59.25" customHeight="1">
      <c r="A4" s="900" t="s">
        <v>136</v>
      </c>
      <c r="B4" s="900" t="s">
        <v>8</v>
      </c>
      <c r="C4" s="905" t="s">
        <v>27</v>
      </c>
      <c r="D4" s="905"/>
      <c r="E4" s="905"/>
      <c r="F4" s="905"/>
      <c r="G4" s="900" t="s">
        <v>9</v>
      </c>
      <c r="H4" s="906" t="s">
        <v>148</v>
      </c>
      <c r="I4" s="907"/>
      <c r="J4" s="907"/>
      <c r="K4" s="908"/>
      <c r="L4" s="906" t="s">
        <v>149</v>
      </c>
      <c r="M4" s="908"/>
      <c r="N4" s="900" t="s">
        <v>14</v>
      </c>
      <c r="O4" s="909" t="s">
        <v>15</v>
      </c>
      <c r="P4" s="911" t="s">
        <v>22</v>
      </c>
      <c r="Q4" s="912"/>
      <c r="R4" s="911" t="s">
        <v>343</v>
      </c>
      <c r="S4" s="912"/>
      <c r="T4" s="911" t="s">
        <v>10</v>
      </c>
      <c r="U4" s="913"/>
      <c r="V4" s="913"/>
      <c r="W4" s="913"/>
      <c r="X4" s="913"/>
      <c r="Y4" s="912"/>
      <c r="Z4" s="914" t="s">
        <v>24</v>
      </c>
      <c r="AA4" s="914"/>
      <c r="AB4" s="914"/>
      <c r="AC4" s="914"/>
      <c r="AD4" s="915" t="s">
        <v>16</v>
      </c>
      <c r="AE4" s="917" t="s">
        <v>17</v>
      </c>
      <c r="AF4" s="905" t="s">
        <v>7</v>
      </c>
      <c r="AG4" s="334"/>
      <c r="AH4" s="335"/>
      <c r="AI4" s="335"/>
      <c r="AJ4" s="335"/>
    </row>
    <row r="5" spans="1:36" ht="292.5" customHeight="1">
      <c r="A5" s="901"/>
      <c r="B5" s="901"/>
      <c r="C5" s="530" t="s">
        <v>247</v>
      </c>
      <c r="D5" s="530" t="s">
        <v>248</v>
      </c>
      <c r="E5" s="339" t="s">
        <v>4</v>
      </c>
      <c r="F5" s="530" t="s">
        <v>18</v>
      </c>
      <c r="G5" s="901"/>
      <c r="H5" s="507" t="s">
        <v>202</v>
      </c>
      <c r="I5" s="507" t="s">
        <v>146</v>
      </c>
      <c r="J5" s="507" t="s">
        <v>292</v>
      </c>
      <c r="K5" s="507" t="s">
        <v>294</v>
      </c>
      <c r="L5" s="507" t="s">
        <v>146</v>
      </c>
      <c r="M5" s="507" t="s">
        <v>292</v>
      </c>
      <c r="N5" s="901"/>
      <c r="O5" s="910"/>
      <c r="P5" s="532" t="s">
        <v>12</v>
      </c>
      <c r="Q5" s="341" t="s">
        <v>21</v>
      </c>
      <c r="R5" s="341"/>
      <c r="S5" s="341"/>
      <c r="T5" s="531" t="s">
        <v>11</v>
      </c>
      <c r="U5" s="343" t="s">
        <v>20</v>
      </c>
      <c r="V5" s="531" t="s">
        <v>19</v>
      </c>
      <c r="W5" s="531" t="s">
        <v>12</v>
      </c>
      <c r="X5" s="344" t="s">
        <v>13</v>
      </c>
      <c r="Y5" s="344" t="s">
        <v>286</v>
      </c>
      <c r="Z5" s="344" t="s">
        <v>28</v>
      </c>
      <c r="AA5" s="344" t="s">
        <v>295</v>
      </c>
      <c r="AB5" s="344" t="s">
        <v>25</v>
      </c>
      <c r="AC5" s="531" t="s">
        <v>23</v>
      </c>
      <c r="AD5" s="916"/>
      <c r="AE5" s="918"/>
      <c r="AF5" s="905"/>
      <c r="AG5" s="334"/>
      <c r="AH5" s="335"/>
      <c r="AI5" s="335"/>
      <c r="AJ5" s="335"/>
    </row>
    <row r="6" spans="1:36" ht="21.75" customHeight="1">
      <c r="A6" s="498">
        <v>1</v>
      </c>
      <c r="B6" s="375">
        <v>2</v>
      </c>
      <c r="C6" s="498">
        <v>3</v>
      </c>
      <c r="D6" s="498">
        <v>4</v>
      </c>
      <c r="E6" s="498">
        <v>5</v>
      </c>
      <c r="F6" s="498">
        <v>6</v>
      </c>
      <c r="G6" s="498">
        <v>7</v>
      </c>
      <c r="H6" s="498"/>
      <c r="I6" s="498"/>
      <c r="J6" s="498"/>
      <c r="K6" s="498"/>
      <c r="L6" s="498"/>
      <c r="M6" s="498"/>
      <c r="N6" s="498">
        <v>11</v>
      </c>
      <c r="O6" s="498">
        <v>12</v>
      </c>
      <c r="P6" s="498">
        <v>14</v>
      </c>
      <c r="Q6" s="498">
        <v>15</v>
      </c>
      <c r="R6" s="498"/>
      <c r="S6" s="498"/>
      <c r="T6" s="498">
        <v>17</v>
      </c>
      <c r="U6" s="498">
        <v>18</v>
      </c>
      <c r="V6" s="498">
        <v>19</v>
      </c>
      <c r="W6" s="498">
        <v>20</v>
      </c>
      <c r="X6" s="498">
        <v>21</v>
      </c>
      <c r="Y6" s="498"/>
      <c r="Z6" s="498">
        <v>22</v>
      </c>
      <c r="AA6" s="498">
        <v>23</v>
      </c>
      <c r="AB6" s="498">
        <v>25</v>
      </c>
      <c r="AC6" s="498">
        <v>26</v>
      </c>
      <c r="AD6" s="499">
        <v>27</v>
      </c>
      <c r="AE6" s="498">
        <v>28</v>
      </c>
      <c r="AF6" s="498">
        <v>29</v>
      </c>
      <c r="AG6" s="334"/>
      <c r="AH6" s="335"/>
      <c r="AI6" s="335"/>
      <c r="AJ6" s="335"/>
    </row>
    <row r="7" spans="1:41" ht="81" customHeight="1">
      <c r="A7" s="919"/>
      <c r="B7" s="920"/>
      <c r="C7" s="498"/>
      <c r="D7" s="498"/>
      <c r="E7" s="498"/>
      <c r="F7" s="498"/>
      <c r="G7" s="498"/>
      <c r="H7" s="500" t="e">
        <f>H8+#REF!</f>
        <v>#REF!</v>
      </c>
      <c r="I7" s="500" t="e">
        <f>I8+#REF!</f>
        <v>#REF!</v>
      </c>
      <c r="J7" s="500" t="e">
        <f>J8+#REF!</f>
        <v>#REF!</v>
      </c>
      <c r="K7" s="500"/>
      <c r="L7" s="500" t="e">
        <f>L8+#REF!</f>
        <v>#REF!</v>
      </c>
      <c r="M7" s="500"/>
      <c r="N7" s="500" t="e">
        <f>N8+#REF!</f>
        <v>#REF!</v>
      </c>
      <c r="O7" s="500" t="e">
        <f>O8+#REF!</f>
        <v>#REF!</v>
      </c>
      <c r="P7" s="500"/>
      <c r="Q7" s="501" t="e">
        <f>Q8+#REF!</f>
        <v>#REF!</v>
      </c>
      <c r="R7" s="501"/>
      <c r="S7" s="501"/>
      <c r="T7" s="500"/>
      <c r="U7" s="500" t="e">
        <f>U8+#REF!</f>
        <v>#REF!</v>
      </c>
      <c r="V7" s="500"/>
      <c r="W7" s="501" t="e">
        <f>W8+#REF!</f>
        <v>#REF!</v>
      </c>
      <c r="X7" s="501" t="e">
        <f>X8+#REF!</f>
        <v>#REF!</v>
      </c>
      <c r="Y7" s="501"/>
      <c r="Z7" s="501" t="e">
        <f>Z8+#REF!</f>
        <v>#REF!</v>
      </c>
      <c r="AA7" s="501" t="e">
        <f>AA8+#REF!</f>
        <v>#REF!</v>
      </c>
      <c r="AB7" s="501" t="e">
        <f>AB8+#REF!</f>
        <v>#REF!</v>
      </c>
      <c r="AC7" s="501" t="e">
        <f>AC8+#REF!</f>
        <v>#REF!</v>
      </c>
      <c r="AD7" s="501" t="e">
        <f>AD8+#REF!</f>
        <v>#REF!</v>
      </c>
      <c r="AE7" s="501" t="e">
        <f>AE8+#REF!</f>
        <v>#REF!</v>
      </c>
      <c r="AF7" s="498"/>
      <c r="AG7" s="334"/>
      <c r="AH7" s="335"/>
      <c r="AI7" s="335"/>
      <c r="AJ7" s="335"/>
      <c r="AK7" s="502" t="e">
        <f>U7-#REF!</f>
        <v>#REF!</v>
      </c>
      <c r="AO7" s="501" t="e">
        <f>AE7-#REF!</f>
        <v>#REF!</v>
      </c>
    </row>
    <row r="8" spans="1:44" s="504" customFormat="1" ht="74.25" customHeight="1">
      <c r="A8" s="471"/>
      <c r="B8" s="382" t="s">
        <v>41</v>
      </c>
      <c r="C8" s="471"/>
      <c r="D8" s="471"/>
      <c r="E8" s="503"/>
      <c r="F8" s="471"/>
      <c r="G8" s="395"/>
      <c r="H8" s="395" t="e">
        <f>SUM(#REF!)</f>
        <v>#REF!</v>
      </c>
      <c r="I8" s="395" t="e">
        <f>SUM(#REF!)</f>
        <v>#REF!</v>
      </c>
      <c r="J8" s="395" t="e">
        <f>SUM(#REF!)</f>
        <v>#REF!</v>
      </c>
      <c r="K8" s="395"/>
      <c r="L8" s="395" t="e">
        <f>SUM(#REF!)</f>
        <v>#REF!</v>
      </c>
      <c r="M8" s="395"/>
      <c r="N8" s="395" t="e">
        <f>SUM(#REF!)</f>
        <v>#REF!</v>
      </c>
      <c r="O8" s="395" t="e">
        <f>SUM(#REF!)</f>
        <v>#REF!</v>
      </c>
      <c r="P8" s="395"/>
      <c r="Q8" s="396" t="e">
        <f>SUM(#REF!)</f>
        <v>#REF!</v>
      </c>
      <c r="R8" s="396"/>
      <c r="S8" s="396"/>
      <c r="T8" s="396"/>
      <c r="U8" s="358" t="e">
        <f>SUM(#REF!)</f>
        <v>#REF!</v>
      </c>
      <c r="V8" s="396"/>
      <c r="W8" s="396" t="e">
        <f>SUM(#REF!)</f>
        <v>#REF!</v>
      </c>
      <c r="X8" s="396" t="e">
        <f>SUM(#REF!)</f>
        <v>#REF!</v>
      </c>
      <c r="Y8" s="396"/>
      <c r="Z8" s="396" t="e">
        <f>SUM(#REF!)</f>
        <v>#REF!</v>
      </c>
      <c r="AA8" s="396" t="e">
        <f>SUM(#REF!)</f>
        <v>#REF!</v>
      </c>
      <c r="AB8" s="396" t="e">
        <f>SUM(#REF!)</f>
        <v>#REF!</v>
      </c>
      <c r="AC8" s="396" t="e">
        <f>AB8*350000</f>
        <v>#REF!</v>
      </c>
      <c r="AD8" s="396" t="e">
        <f>SUM(#REF!)</f>
        <v>#REF!</v>
      </c>
      <c r="AE8" s="396" t="e">
        <f>SUM(#REF!)</f>
        <v>#REF!</v>
      </c>
      <c r="AF8" s="394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</row>
    <row r="9" spans="1:44" s="388" customFormat="1" ht="78" customHeight="1">
      <c r="A9" s="386">
        <v>1</v>
      </c>
      <c r="B9" s="510" t="s">
        <v>297</v>
      </c>
      <c r="C9" s="444">
        <v>51</v>
      </c>
      <c r="D9" s="444">
        <v>72</v>
      </c>
      <c r="E9" s="444">
        <v>328.2</v>
      </c>
      <c r="F9" s="444" t="s">
        <v>0</v>
      </c>
      <c r="G9" s="444" t="s">
        <v>43</v>
      </c>
      <c r="H9" s="448">
        <v>92.1</v>
      </c>
      <c r="I9" s="511"/>
      <c r="J9" s="511"/>
      <c r="K9" s="511"/>
      <c r="L9" s="444"/>
      <c r="M9" s="444"/>
      <c r="N9" s="389">
        <f aca="true" t="shared" si="0" ref="N9:N18">SUM(H9:M9)</f>
        <v>92.1</v>
      </c>
      <c r="O9" s="389">
        <f>N9</f>
        <v>92.1</v>
      </c>
      <c r="P9" s="360">
        <v>60000</v>
      </c>
      <c r="Q9" s="390">
        <f aca="true" t="shared" si="1" ref="Q9:Q18">N9*P9</f>
        <v>5526000</v>
      </c>
      <c r="R9" s="390"/>
      <c r="S9" s="390"/>
      <c r="T9" s="358" t="s">
        <v>30</v>
      </c>
      <c r="U9" s="358">
        <f>N9</f>
        <v>92.1</v>
      </c>
      <c r="V9" s="358" t="s">
        <v>241</v>
      </c>
      <c r="W9" s="360">
        <v>9500</v>
      </c>
      <c r="X9" s="360">
        <f aca="true" t="shared" si="2" ref="X9:X17">U9*W9*Y9</f>
        <v>874950</v>
      </c>
      <c r="Y9" s="494">
        <v>1</v>
      </c>
      <c r="Z9" s="360">
        <f aca="true" t="shared" si="3" ref="Z9:Z18">N9*10000</f>
        <v>921000</v>
      </c>
      <c r="AA9" s="360">
        <f aca="true" t="shared" si="4" ref="AA9:AA18">N9*P9*3</f>
        <v>16578000</v>
      </c>
      <c r="AB9" s="360">
        <f aca="true" t="shared" si="5" ref="AB9:AB18">INT(N9/176.4)</f>
        <v>0</v>
      </c>
      <c r="AC9" s="361">
        <f aca="true" t="shared" si="6" ref="AC9:AC18">AB9*3500000</f>
        <v>0</v>
      </c>
      <c r="AD9" s="360">
        <f aca="true" t="shared" si="7" ref="AD9:AD16">Q9+X9+Z9+AA9+AC9</f>
        <v>23899950</v>
      </c>
      <c r="AE9" s="360">
        <f aca="true" t="shared" si="8" ref="AE9:AE17">AD9</f>
        <v>23899950</v>
      </c>
      <c r="AF9" s="377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</row>
    <row r="10" spans="1:44" s="388" customFormat="1" ht="78" customHeight="1">
      <c r="A10" s="386">
        <v>2</v>
      </c>
      <c r="B10" s="510" t="s">
        <v>298</v>
      </c>
      <c r="C10" s="444">
        <v>51</v>
      </c>
      <c r="D10" s="444">
        <v>72</v>
      </c>
      <c r="E10" s="444">
        <v>328.2</v>
      </c>
      <c r="F10" s="444" t="s">
        <v>0</v>
      </c>
      <c r="G10" s="444" t="s">
        <v>43</v>
      </c>
      <c r="H10" s="448">
        <v>236.1</v>
      </c>
      <c r="I10" s="511"/>
      <c r="J10" s="511"/>
      <c r="K10" s="511"/>
      <c r="L10" s="444"/>
      <c r="M10" s="444"/>
      <c r="N10" s="389">
        <f t="shared" si="0"/>
        <v>236.1</v>
      </c>
      <c r="O10" s="389">
        <f>N10</f>
        <v>236.1</v>
      </c>
      <c r="P10" s="360">
        <v>60000</v>
      </c>
      <c r="Q10" s="390">
        <f t="shared" si="1"/>
        <v>14166000</v>
      </c>
      <c r="R10" s="390"/>
      <c r="S10" s="390"/>
      <c r="T10" s="358" t="s">
        <v>30</v>
      </c>
      <c r="U10" s="358">
        <f>N10</f>
        <v>236.1</v>
      </c>
      <c r="V10" s="358" t="s">
        <v>276</v>
      </c>
      <c r="W10" s="360">
        <v>9500</v>
      </c>
      <c r="X10" s="360">
        <f t="shared" si="2"/>
        <v>2242950</v>
      </c>
      <c r="Y10" s="494">
        <v>1</v>
      </c>
      <c r="Z10" s="360">
        <f t="shared" si="3"/>
        <v>2361000</v>
      </c>
      <c r="AA10" s="360">
        <f t="shared" si="4"/>
        <v>42498000</v>
      </c>
      <c r="AB10" s="360">
        <f t="shared" si="5"/>
        <v>1</v>
      </c>
      <c r="AC10" s="361">
        <f t="shared" si="6"/>
        <v>3500000</v>
      </c>
      <c r="AD10" s="360">
        <f t="shared" si="7"/>
        <v>64767950</v>
      </c>
      <c r="AE10" s="360">
        <f t="shared" si="8"/>
        <v>64767950</v>
      </c>
      <c r="AF10" s="377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12"/>
    </row>
    <row r="11" spans="1:44" s="388" customFormat="1" ht="78" customHeight="1">
      <c r="A11" s="386">
        <v>2</v>
      </c>
      <c r="B11" s="510" t="s">
        <v>298</v>
      </c>
      <c r="C11" s="444">
        <v>47</v>
      </c>
      <c r="D11" s="444">
        <v>72</v>
      </c>
      <c r="E11" s="444">
        <v>216.7</v>
      </c>
      <c r="F11" s="444" t="s">
        <v>299</v>
      </c>
      <c r="G11" s="444" t="s">
        <v>43</v>
      </c>
      <c r="H11" s="513"/>
      <c r="I11" s="511"/>
      <c r="J11" s="511"/>
      <c r="K11" s="444">
        <v>216.7</v>
      </c>
      <c r="L11" s="444"/>
      <c r="M11" s="444"/>
      <c r="N11" s="389">
        <f t="shared" si="0"/>
        <v>216.7</v>
      </c>
      <c r="O11" s="389">
        <f>N11</f>
        <v>216.7</v>
      </c>
      <c r="P11" s="360">
        <v>50000</v>
      </c>
      <c r="Q11" s="390">
        <f t="shared" si="1"/>
        <v>10835000</v>
      </c>
      <c r="R11" s="390"/>
      <c r="S11" s="390"/>
      <c r="T11" s="509" t="s">
        <v>300</v>
      </c>
      <c r="U11" s="358">
        <v>200</v>
      </c>
      <c r="V11" s="358" t="s">
        <v>241</v>
      </c>
      <c r="W11" s="360">
        <v>13700</v>
      </c>
      <c r="X11" s="360">
        <f t="shared" si="2"/>
        <v>2740000</v>
      </c>
      <c r="Y11" s="494">
        <v>1</v>
      </c>
      <c r="Z11" s="360">
        <f t="shared" si="3"/>
        <v>2167000</v>
      </c>
      <c r="AA11" s="360">
        <f t="shared" si="4"/>
        <v>32505000</v>
      </c>
      <c r="AB11" s="360">
        <f t="shared" si="5"/>
        <v>1</v>
      </c>
      <c r="AC11" s="361">
        <f t="shared" si="6"/>
        <v>3500000</v>
      </c>
      <c r="AD11" s="360">
        <f t="shared" si="7"/>
        <v>51747000</v>
      </c>
      <c r="AE11" s="360">
        <f t="shared" si="8"/>
        <v>51747000</v>
      </c>
      <c r="AF11" s="398"/>
      <c r="AG11" s="512"/>
      <c r="AH11" s="512"/>
      <c r="AI11" s="512"/>
      <c r="AJ11" s="512"/>
      <c r="AK11" s="512"/>
      <c r="AL11" s="512"/>
      <c r="AM11" s="512"/>
      <c r="AN11" s="512"/>
      <c r="AO11" s="512"/>
      <c r="AP11" s="512"/>
      <c r="AQ11" s="512"/>
      <c r="AR11" s="512"/>
    </row>
    <row r="12" spans="1:44" s="388" customFormat="1" ht="76.5" customHeight="1">
      <c r="A12" s="534">
        <v>4</v>
      </c>
      <c r="B12" s="535" t="s">
        <v>342</v>
      </c>
      <c r="C12" s="534">
        <v>157</v>
      </c>
      <c r="D12" s="534">
        <v>72</v>
      </c>
      <c r="E12" s="534">
        <v>524.5</v>
      </c>
      <c r="F12" s="534" t="s">
        <v>45</v>
      </c>
      <c r="G12" s="534" t="s">
        <v>44</v>
      </c>
      <c r="H12" s="350">
        <v>240</v>
      </c>
      <c r="I12" s="350"/>
      <c r="J12" s="350"/>
      <c r="K12" s="350"/>
      <c r="L12" s="350"/>
      <c r="M12" s="350"/>
      <c r="N12" s="389">
        <f t="shared" si="0"/>
        <v>240</v>
      </c>
      <c r="O12" s="389">
        <f aca="true" t="shared" si="9" ref="O12:O18">N12</f>
        <v>240</v>
      </c>
      <c r="P12" s="360">
        <v>60000</v>
      </c>
      <c r="Q12" s="390">
        <f t="shared" si="1"/>
        <v>14400000</v>
      </c>
      <c r="R12" s="390"/>
      <c r="S12" s="390"/>
      <c r="T12" s="358" t="s">
        <v>30</v>
      </c>
      <c r="U12" s="358">
        <f aca="true" t="shared" si="10" ref="U12:U17">N12</f>
        <v>240</v>
      </c>
      <c r="V12" s="358" t="s">
        <v>276</v>
      </c>
      <c r="W12" s="360">
        <v>9500</v>
      </c>
      <c r="X12" s="360">
        <f t="shared" si="2"/>
        <v>2280000</v>
      </c>
      <c r="Y12" s="494">
        <v>1</v>
      </c>
      <c r="Z12" s="360">
        <f t="shared" si="3"/>
        <v>2400000</v>
      </c>
      <c r="AA12" s="360">
        <f t="shared" si="4"/>
        <v>43200000</v>
      </c>
      <c r="AB12" s="360">
        <f t="shared" si="5"/>
        <v>1</v>
      </c>
      <c r="AC12" s="361">
        <f t="shared" si="6"/>
        <v>3500000</v>
      </c>
      <c r="AD12" s="360">
        <f t="shared" si="7"/>
        <v>65780000</v>
      </c>
      <c r="AE12" s="360">
        <f t="shared" si="8"/>
        <v>65780000</v>
      </c>
      <c r="AF12" s="398"/>
      <c r="AG12" s="512"/>
      <c r="AH12" s="512"/>
      <c r="AI12" s="512"/>
      <c r="AJ12" s="512"/>
      <c r="AK12" s="512"/>
      <c r="AL12" s="512"/>
      <c r="AM12" s="512"/>
      <c r="AN12" s="512"/>
      <c r="AO12" s="512"/>
      <c r="AP12" s="512"/>
      <c r="AQ12" s="512"/>
      <c r="AR12" s="512"/>
    </row>
    <row r="13" spans="1:44" s="388" customFormat="1" ht="78" customHeight="1">
      <c r="A13" s="386">
        <v>3</v>
      </c>
      <c r="B13" s="510" t="s">
        <v>301</v>
      </c>
      <c r="C13" s="444">
        <v>26</v>
      </c>
      <c r="D13" s="444">
        <v>82</v>
      </c>
      <c r="E13" s="444">
        <v>110.8</v>
      </c>
      <c r="F13" s="444" t="s">
        <v>0</v>
      </c>
      <c r="G13" s="444" t="s">
        <v>37</v>
      </c>
      <c r="H13" s="448"/>
      <c r="I13" s="448">
        <v>110.8</v>
      </c>
      <c r="J13" s="511"/>
      <c r="K13" s="511"/>
      <c r="L13" s="444"/>
      <c r="M13" s="444"/>
      <c r="N13" s="389">
        <f t="shared" si="0"/>
        <v>110.8</v>
      </c>
      <c r="O13" s="389">
        <f t="shared" si="9"/>
        <v>110.8</v>
      </c>
      <c r="P13" s="360">
        <v>60000</v>
      </c>
      <c r="Q13" s="390">
        <f t="shared" si="1"/>
        <v>6648000</v>
      </c>
      <c r="R13" s="390"/>
      <c r="S13" s="390"/>
      <c r="T13" s="358" t="s">
        <v>30</v>
      </c>
      <c r="U13" s="358">
        <f t="shared" si="10"/>
        <v>110.8</v>
      </c>
      <c r="V13" s="358" t="s">
        <v>276</v>
      </c>
      <c r="W13" s="360">
        <v>9500</v>
      </c>
      <c r="X13" s="360">
        <f t="shared" si="2"/>
        <v>1052600</v>
      </c>
      <c r="Y13" s="494">
        <v>1</v>
      </c>
      <c r="Z13" s="360">
        <f t="shared" si="3"/>
        <v>1108000</v>
      </c>
      <c r="AA13" s="360">
        <f t="shared" si="4"/>
        <v>19944000</v>
      </c>
      <c r="AB13" s="360">
        <f t="shared" si="5"/>
        <v>0</v>
      </c>
      <c r="AC13" s="361">
        <f t="shared" si="6"/>
        <v>0</v>
      </c>
      <c r="AD13" s="360">
        <f t="shared" si="7"/>
        <v>28752600</v>
      </c>
      <c r="AE13" s="360">
        <f t="shared" si="8"/>
        <v>28752600</v>
      </c>
      <c r="AF13" s="377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512"/>
    </row>
    <row r="14" spans="1:44" s="388" customFormat="1" ht="78" customHeight="1">
      <c r="A14" s="386">
        <v>4</v>
      </c>
      <c r="B14" s="510" t="s">
        <v>302</v>
      </c>
      <c r="C14" s="444">
        <v>38</v>
      </c>
      <c r="D14" s="444">
        <v>82</v>
      </c>
      <c r="E14" s="444">
        <v>173.9</v>
      </c>
      <c r="F14" s="444" t="s">
        <v>0</v>
      </c>
      <c r="G14" s="444" t="s">
        <v>37</v>
      </c>
      <c r="H14" s="513"/>
      <c r="I14" s="448">
        <v>173.9</v>
      </c>
      <c r="J14" s="511"/>
      <c r="K14" s="444"/>
      <c r="L14" s="444"/>
      <c r="M14" s="444"/>
      <c r="N14" s="389">
        <f t="shared" si="0"/>
        <v>173.9</v>
      </c>
      <c r="O14" s="389">
        <f t="shared" si="9"/>
        <v>173.9</v>
      </c>
      <c r="P14" s="360">
        <v>60000</v>
      </c>
      <c r="Q14" s="390">
        <f t="shared" si="1"/>
        <v>10434000</v>
      </c>
      <c r="R14" s="390"/>
      <c r="S14" s="390"/>
      <c r="T14" s="358" t="s">
        <v>30</v>
      </c>
      <c r="U14" s="358">
        <f t="shared" si="10"/>
        <v>173.9</v>
      </c>
      <c r="V14" s="358" t="s">
        <v>276</v>
      </c>
      <c r="W14" s="360">
        <v>9500</v>
      </c>
      <c r="X14" s="360">
        <f t="shared" si="2"/>
        <v>1652050</v>
      </c>
      <c r="Y14" s="494">
        <v>1</v>
      </c>
      <c r="Z14" s="360">
        <f t="shared" si="3"/>
        <v>1739000</v>
      </c>
      <c r="AA14" s="360">
        <f t="shared" si="4"/>
        <v>31302000</v>
      </c>
      <c r="AB14" s="360">
        <f t="shared" si="5"/>
        <v>0</v>
      </c>
      <c r="AC14" s="361">
        <f t="shared" si="6"/>
        <v>0</v>
      </c>
      <c r="AD14" s="360">
        <f t="shared" si="7"/>
        <v>45127050</v>
      </c>
      <c r="AE14" s="360">
        <f t="shared" si="8"/>
        <v>45127050</v>
      </c>
      <c r="AF14" s="398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</row>
    <row r="15" spans="1:44" s="388" customFormat="1" ht="78" customHeight="1">
      <c r="A15" s="386">
        <v>5</v>
      </c>
      <c r="B15" s="510" t="s">
        <v>303</v>
      </c>
      <c r="C15" s="444">
        <v>17</v>
      </c>
      <c r="D15" s="444">
        <v>81</v>
      </c>
      <c r="E15" s="444">
        <v>261.7</v>
      </c>
      <c r="F15" s="444" t="s">
        <v>0</v>
      </c>
      <c r="G15" s="444" t="s">
        <v>296</v>
      </c>
      <c r="H15" s="448">
        <f>E15</f>
        <v>261.7</v>
      </c>
      <c r="I15" s="448"/>
      <c r="J15" s="448"/>
      <c r="K15" s="448"/>
      <c r="L15" s="444"/>
      <c r="M15" s="444"/>
      <c r="N15" s="389">
        <f t="shared" si="0"/>
        <v>261.7</v>
      </c>
      <c r="O15" s="389">
        <f t="shared" si="9"/>
        <v>261.7</v>
      </c>
      <c r="P15" s="360">
        <v>60000</v>
      </c>
      <c r="Q15" s="390">
        <f t="shared" si="1"/>
        <v>15702000</v>
      </c>
      <c r="R15" s="390"/>
      <c r="S15" s="390"/>
      <c r="T15" s="358" t="s">
        <v>30</v>
      </c>
      <c r="U15" s="358">
        <f t="shared" si="10"/>
        <v>261.7</v>
      </c>
      <c r="V15" s="358" t="s">
        <v>276</v>
      </c>
      <c r="W15" s="360">
        <v>9500</v>
      </c>
      <c r="X15" s="360">
        <f t="shared" si="2"/>
        <v>2486150</v>
      </c>
      <c r="Y15" s="494">
        <v>1</v>
      </c>
      <c r="Z15" s="360">
        <f t="shared" si="3"/>
        <v>2617000</v>
      </c>
      <c r="AA15" s="360">
        <f t="shared" si="4"/>
        <v>47106000</v>
      </c>
      <c r="AB15" s="360">
        <f t="shared" si="5"/>
        <v>1</v>
      </c>
      <c r="AC15" s="361">
        <f t="shared" si="6"/>
        <v>3500000</v>
      </c>
      <c r="AD15" s="360">
        <f t="shared" si="7"/>
        <v>71411150</v>
      </c>
      <c r="AE15" s="360">
        <f t="shared" si="8"/>
        <v>71411150</v>
      </c>
      <c r="AF15" s="398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</row>
    <row r="16" spans="1:44" s="388" customFormat="1" ht="78" customHeight="1">
      <c r="A16" s="386">
        <v>5</v>
      </c>
      <c r="B16" s="510" t="s">
        <v>303</v>
      </c>
      <c r="C16" s="444">
        <v>116</v>
      </c>
      <c r="D16" s="444">
        <v>71</v>
      </c>
      <c r="E16" s="444">
        <v>1595.8</v>
      </c>
      <c r="F16" s="444" t="s">
        <v>45</v>
      </c>
      <c r="G16" s="444" t="s">
        <v>43</v>
      </c>
      <c r="H16" s="448"/>
      <c r="I16" s="448">
        <f>283.2+36</f>
        <v>319.2</v>
      </c>
      <c r="J16" s="448"/>
      <c r="K16" s="448"/>
      <c r="L16" s="444"/>
      <c r="M16" s="444"/>
      <c r="N16" s="389">
        <f t="shared" si="0"/>
        <v>319.2</v>
      </c>
      <c r="O16" s="389">
        <f t="shared" si="9"/>
        <v>319.2</v>
      </c>
      <c r="P16" s="360"/>
      <c r="Q16" s="390">
        <f t="shared" si="1"/>
        <v>0</v>
      </c>
      <c r="R16" s="390"/>
      <c r="S16" s="390"/>
      <c r="T16" s="358" t="s">
        <v>30</v>
      </c>
      <c r="U16" s="358">
        <f t="shared" si="10"/>
        <v>319.2</v>
      </c>
      <c r="V16" s="358" t="s">
        <v>276</v>
      </c>
      <c r="W16" s="360">
        <v>9500</v>
      </c>
      <c r="X16" s="360">
        <f t="shared" si="2"/>
        <v>3032400</v>
      </c>
      <c r="Y16" s="494">
        <v>1</v>
      </c>
      <c r="Z16" s="360">
        <f t="shared" si="3"/>
        <v>3192000</v>
      </c>
      <c r="AA16" s="360">
        <f t="shared" si="4"/>
        <v>0</v>
      </c>
      <c r="AB16" s="360">
        <f t="shared" si="5"/>
        <v>1</v>
      </c>
      <c r="AC16" s="361">
        <f t="shared" si="6"/>
        <v>3500000</v>
      </c>
      <c r="AD16" s="360">
        <f t="shared" si="7"/>
        <v>9724400</v>
      </c>
      <c r="AE16" s="360">
        <f t="shared" si="8"/>
        <v>9724400</v>
      </c>
      <c r="AF16" s="398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</row>
    <row r="17" spans="1:44" s="388" customFormat="1" ht="78" customHeight="1">
      <c r="A17" s="386">
        <v>8</v>
      </c>
      <c r="B17" s="510" t="s">
        <v>304</v>
      </c>
      <c r="C17" s="444">
        <v>116</v>
      </c>
      <c r="D17" s="444">
        <v>71</v>
      </c>
      <c r="E17" s="444">
        <v>1595.8</v>
      </c>
      <c r="F17" s="444" t="s">
        <v>45</v>
      </c>
      <c r="G17" s="444" t="s">
        <v>43</v>
      </c>
      <c r="H17" s="448"/>
      <c r="I17" s="448">
        <v>283.2</v>
      </c>
      <c r="J17" s="448"/>
      <c r="K17" s="448"/>
      <c r="L17" s="444"/>
      <c r="M17" s="444"/>
      <c r="N17" s="389">
        <f t="shared" si="0"/>
        <v>283.2</v>
      </c>
      <c r="O17" s="389">
        <f t="shared" si="9"/>
        <v>283.2</v>
      </c>
      <c r="P17" s="360"/>
      <c r="Q17" s="390">
        <f t="shared" si="1"/>
        <v>0</v>
      </c>
      <c r="R17" s="390"/>
      <c r="S17" s="390"/>
      <c r="T17" s="358" t="s">
        <v>30</v>
      </c>
      <c r="U17" s="358">
        <f t="shared" si="10"/>
        <v>283.2</v>
      </c>
      <c r="V17" s="358" t="s">
        <v>276</v>
      </c>
      <c r="W17" s="360">
        <v>9500</v>
      </c>
      <c r="X17" s="360">
        <f t="shared" si="2"/>
        <v>2690400</v>
      </c>
      <c r="Y17" s="494">
        <v>1</v>
      </c>
      <c r="Z17" s="360">
        <f t="shared" si="3"/>
        <v>2832000</v>
      </c>
      <c r="AA17" s="360">
        <f t="shared" si="4"/>
        <v>0</v>
      </c>
      <c r="AB17" s="360">
        <f t="shared" si="5"/>
        <v>1</v>
      </c>
      <c r="AC17" s="361">
        <f t="shared" si="6"/>
        <v>3500000</v>
      </c>
      <c r="AD17" s="360">
        <f>Q17+X17+Z17+AA17+AC17</f>
        <v>9022400</v>
      </c>
      <c r="AE17" s="360">
        <f t="shared" si="8"/>
        <v>9022400</v>
      </c>
      <c r="AF17" s="398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</row>
    <row r="18" spans="1:44" s="388" customFormat="1" ht="120" customHeight="1">
      <c r="A18" s="386">
        <v>9</v>
      </c>
      <c r="B18" s="510" t="s">
        <v>305</v>
      </c>
      <c r="C18" s="444">
        <v>116</v>
      </c>
      <c r="D18" s="444">
        <v>71</v>
      </c>
      <c r="E18" s="444">
        <v>1595.8</v>
      </c>
      <c r="F18" s="444" t="s">
        <v>45</v>
      </c>
      <c r="G18" s="444" t="s">
        <v>43</v>
      </c>
      <c r="H18" s="448"/>
      <c r="I18" s="448">
        <v>679</v>
      </c>
      <c r="J18" s="448"/>
      <c r="K18" s="448"/>
      <c r="L18" s="444"/>
      <c r="M18" s="444"/>
      <c r="N18" s="389">
        <f t="shared" si="0"/>
        <v>679</v>
      </c>
      <c r="O18" s="389">
        <f t="shared" si="9"/>
        <v>679</v>
      </c>
      <c r="P18" s="360"/>
      <c r="Q18" s="390">
        <f t="shared" si="1"/>
        <v>0</v>
      </c>
      <c r="R18" s="390"/>
      <c r="S18" s="390"/>
      <c r="T18" s="509"/>
      <c r="U18" s="358"/>
      <c r="V18" s="358"/>
      <c r="W18" s="360"/>
      <c r="X18" s="360"/>
      <c r="Y18" s="494"/>
      <c r="Z18" s="360">
        <f t="shared" si="3"/>
        <v>6790000</v>
      </c>
      <c r="AA18" s="360">
        <f t="shared" si="4"/>
        <v>0</v>
      </c>
      <c r="AB18" s="360">
        <f t="shared" si="5"/>
        <v>3</v>
      </c>
      <c r="AC18" s="361">
        <f t="shared" si="6"/>
        <v>10500000</v>
      </c>
      <c r="AD18" s="360">
        <f>Q18+Z18+AA18+AC18</f>
        <v>17290000</v>
      </c>
      <c r="AE18" s="360">
        <f>SUM(AD18:AD25)</f>
        <v>40163000</v>
      </c>
      <c r="AF18" s="398"/>
      <c r="AG18" s="512"/>
      <c r="AH18" s="512"/>
      <c r="AI18" s="512"/>
      <c r="AJ18" s="512"/>
      <c r="AK18" s="512"/>
      <c r="AL18" s="512"/>
      <c r="AM18" s="512"/>
      <c r="AN18" s="512"/>
      <c r="AO18" s="515">
        <f>AE18-176000000</f>
        <v>-135837000</v>
      </c>
      <c r="AP18" s="512"/>
      <c r="AQ18" s="512"/>
      <c r="AR18" s="512"/>
    </row>
    <row r="19" spans="1:44" s="388" customFormat="1" ht="120" customHeight="1">
      <c r="A19" s="386">
        <v>9</v>
      </c>
      <c r="B19" s="510" t="s">
        <v>305</v>
      </c>
      <c r="C19" s="444">
        <v>116</v>
      </c>
      <c r="D19" s="444">
        <v>71</v>
      </c>
      <c r="E19" s="444">
        <v>1595.8</v>
      </c>
      <c r="F19" s="444" t="s">
        <v>45</v>
      </c>
      <c r="G19" s="444" t="s">
        <v>43</v>
      </c>
      <c r="H19" s="448"/>
      <c r="I19" s="448"/>
      <c r="J19" s="448"/>
      <c r="K19" s="448"/>
      <c r="L19" s="444"/>
      <c r="M19" s="444"/>
      <c r="N19" s="444"/>
      <c r="O19" s="444"/>
      <c r="P19" s="360"/>
      <c r="Q19" s="444"/>
      <c r="R19" s="444"/>
      <c r="S19" s="444"/>
      <c r="T19" s="509" t="s">
        <v>306</v>
      </c>
      <c r="U19" s="358">
        <v>60</v>
      </c>
      <c r="V19" s="509" t="s">
        <v>307</v>
      </c>
      <c r="W19" s="514">
        <v>87000</v>
      </c>
      <c r="X19" s="360">
        <f>U19*W19*Y19</f>
        <v>4176000</v>
      </c>
      <c r="Y19" s="494">
        <v>0.8</v>
      </c>
      <c r="Z19" s="360"/>
      <c r="AA19" s="360"/>
      <c r="AB19" s="360"/>
      <c r="AC19" s="360"/>
      <c r="AD19" s="360">
        <f>Q19+X19+Z19+AA19</f>
        <v>4176000</v>
      </c>
      <c r="AE19" s="360"/>
      <c r="AF19" s="398"/>
      <c r="AG19" s="512"/>
      <c r="AH19" s="512"/>
      <c r="AI19" s="512"/>
      <c r="AJ19" s="512"/>
      <c r="AK19" s="512"/>
      <c r="AL19" s="512">
        <v>384</v>
      </c>
      <c r="AM19" s="512"/>
      <c r="AN19" s="512"/>
      <c r="AO19" s="512"/>
      <c r="AP19" s="512"/>
      <c r="AQ19" s="512"/>
      <c r="AR19" s="512"/>
    </row>
    <row r="20" spans="1:44" s="388" customFormat="1" ht="120" customHeight="1">
      <c r="A20" s="386">
        <v>9</v>
      </c>
      <c r="B20" s="510" t="s">
        <v>305</v>
      </c>
      <c r="C20" s="444">
        <v>116</v>
      </c>
      <c r="D20" s="444">
        <v>71</v>
      </c>
      <c r="E20" s="444">
        <v>1595.8</v>
      </c>
      <c r="F20" s="444" t="s">
        <v>45</v>
      </c>
      <c r="G20" s="444" t="s">
        <v>43</v>
      </c>
      <c r="H20" s="444"/>
      <c r="I20" s="444"/>
      <c r="J20" s="444"/>
      <c r="K20" s="444"/>
      <c r="L20" s="444"/>
      <c r="M20" s="444"/>
      <c r="N20" s="444"/>
      <c r="O20" s="444"/>
      <c r="P20" s="360"/>
      <c r="Q20" s="444"/>
      <c r="R20" s="444"/>
      <c r="S20" s="444"/>
      <c r="T20" s="509" t="s">
        <v>308</v>
      </c>
      <c r="U20" s="358">
        <v>1</v>
      </c>
      <c r="V20" s="509" t="s">
        <v>268</v>
      </c>
      <c r="W20" s="514">
        <v>1055000</v>
      </c>
      <c r="X20" s="360">
        <f>W20*U20*Y20</f>
        <v>844000</v>
      </c>
      <c r="Y20" s="494">
        <v>0.8</v>
      </c>
      <c r="Z20" s="360"/>
      <c r="AA20" s="360"/>
      <c r="AB20" s="360"/>
      <c r="AC20" s="360"/>
      <c r="AD20" s="360">
        <f>Q20+X20+Z20+AA20</f>
        <v>844000</v>
      </c>
      <c r="AE20" s="360"/>
      <c r="AF20" s="398"/>
      <c r="AG20" s="512"/>
      <c r="AH20" s="512"/>
      <c r="AI20" s="512"/>
      <c r="AJ20" s="512"/>
      <c r="AK20" s="512"/>
      <c r="AL20" s="512">
        <v>16</v>
      </c>
      <c r="AM20" s="512"/>
      <c r="AN20" s="512">
        <f>AL19+AL20+AL21+AL22+AL23+AL24</f>
        <v>525</v>
      </c>
      <c r="AO20" s="512"/>
      <c r="AP20" s="512"/>
      <c r="AQ20" s="512"/>
      <c r="AR20" s="512"/>
    </row>
    <row r="21" spans="1:44" s="388" customFormat="1" ht="120" customHeight="1">
      <c r="A21" s="386">
        <v>9</v>
      </c>
      <c r="B21" s="510" t="s">
        <v>305</v>
      </c>
      <c r="C21" s="444">
        <v>116</v>
      </c>
      <c r="D21" s="444">
        <v>71</v>
      </c>
      <c r="E21" s="444">
        <v>1595.8</v>
      </c>
      <c r="F21" s="444" t="s">
        <v>45</v>
      </c>
      <c r="G21" s="444" t="s">
        <v>43</v>
      </c>
      <c r="H21" s="444"/>
      <c r="I21" s="444"/>
      <c r="J21" s="444"/>
      <c r="K21" s="444"/>
      <c r="L21" s="444"/>
      <c r="M21" s="444"/>
      <c r="N21" s="444"/>
      <c r="O21" s="444"/>
      <c r="P21" s="360"/>
      <c r="Q21" s="444"/>
      <c r="R21" s="444"/>
      <c r="S21" s="444"/>
      <c r="T21" s="509" t="s">
        <v>309</v>
      </c>
      <c r="U21" s="358">
        <v>4</v>
      </c>
      <c r="V21" s="509" t="s">
        <v>268</v>
      </c>
      <c r="W21" s="514">
        <v>2216000</v>
      </c>
      <c r="X21" s="360">
        <f>W21*U21*Y21</f>
        <v>7091200</v>
      </c>
      <c r="Y21" s="494">
        <v>0.8</v>
      </c>
      <c r="Z21" s="360"/>
      <c r="AA21" s="360"/>
      <c r="AB21" s="360"/>
      <c r="AC21" s="360"/>
      <c r="AD21" s="360">
        <f>X21</f>
        <v>7091200</v>
      </c>
      <c r="AE21" s="360"/>
      <c r="AF21" s="398"/>
      <c r="AG21" s="512"/>
      <c r="AH21" s="512"/>
      <c r="AI21" s="512"/>
      <c r="AJ21" s="512"/>
      <c r="AK21" s="512"/>
      <c r="AL21" s="512">
        <v>48</v>
      </c>
      <c r="AM21" s="512"/>
      <c r="AN21" s="512"/>
      <c r="AO21" s="512"/>
      <c r="AP21" s="512"/>
      <c r="AQ21" s="512"/>
      <c r="AR21" s="512"/>
    </row>
    <row r="22" spans="1:44" s="388" customFormat="1" ht="120" customHeight="1">
      <c r="A22" s="386">
        <v>9</v>
      </c>
      <c r="B22" s="510" t="s">
        <v>305</v>
      </c>
      <c r="C22" s="444">
        <v>116</v>
      </c>
      <c r="D22" s="444">
        <v>71</v>
      </c>
      <c r="E22" s="444">
        <v>1595.8</v>
      </c>
      <c r="F22" s="444" t="s">
        <v>45</v>
      </c>
      <c r="G22" s="444" t="s">
        <v>43</v>
      </c>
      <c r="H22" s="444"/>
      <c r="I22" s="444"/>
      <c r="J22" s="444"/>
      <c r="K22" s="444"/>
      <c r="L22" s="444"/>
      <c r="M22" s="444"/>
      <c r="N22" s="444"/>
      <c r="O22" s="444"/>
      <c r="P22" s="360"/>
      <c r="Q22" s="444"/>
      <c r="R22" s="444"/>
      <c r="S22" s="444"/>
      <c r="T22" s="509" t="s">
        <v>310</v>
      </c>
      <c r="U22" s="358">
        <v>3</v>
      </c>
      <c r="V22" s="509" t="s">
        <v>268</v>
      </c>
      <c r="W22" s="514">
        <v>1270000</v>
      </c>
      <c r="X22" s="360">
        <f>W22*U22*Y22</f>
        <v>3048000</v>
      </c>
      <c r="Y22" s="494">
        <v>0.8</v>
      </c>
      <c r="Z22" s="444"/>
      <c r="AA22" s="444"/>
      <c r="AB22" s="444"/>
      <c r="AC22" s="444"/>
      <c r="AD22" s="360">
        <f>X22</f>
        <v>3048000</v>
      </c>
      <c r="AE22" s="360"/>
      <c r="AF22" s="398"/>
      <c r="AG22" s="512"/>
      <c r="AH22" s="512"/>
      <c r="AI22" s="512"/>
      <c r="AJ22" s="512"/>
      <c r="AK22" s="512"/>
      <c r="AL22" s="512">
        <v>36</v>
      </c>
      <c r="AM22" s="512"/>
      <c r="AN22" s="512"/>
      <c r="AO22" s="512"/>
      <c r="AP22" s="512"/>
      <c r="AQ22" s="512"/>
      <c r="AR22" s="512"/>
    </row>
    <row r="23" spans="1:44" s="388" customFormat="1" ht="120" customHeight="1">
      <c r="A23" s="386">
        <v>9</v>
      </c>
      <c r="B23" s="510" t="s">
        <v>305</v>
      </c>
      <c r="C23" s="444">
        <v>116</v>
      </c>
      <c r="D23" s="444">
        <v>71</v>
      </c>
      <c r="E23" s="444">
        <v>1595.8</v>
      </c>
      <c r="F23" s="444" t="s">
        <v>45</v>
      </c>
      <c r="G23" s="444" t="s">
        <v>43</v>
      </c>
      <c r="H23" s="444"/>
      <c r="I23" s="444"/>
      <c r="J23" s="444"/>
      <c r="K23" s="444"/>
      <c r="L23" s="444"/>
      <c r="M23" s="444"/>
      <c r="N23" s="444"/>
      <c r="O23" s="444"/>
      <c r="P23" s="360"/>
      <c r="Q23" s="444"/>
      <c r="R23" s="444"/>
      <c r="S23" s="444"/>
      <c r="T23" s="444" t="s">
        <v>311</v>
      </c>
      <c r="U23" s="358">
        <v>3</v>
      </c>
      <c r="V23" s="509" t="s">
        <v>268</v>
      </c>
      <c r="W23" s="514">
        <v>2585000</v>
      </c>
      <c r="X23" s="360">
        <f>W23*U23*Y23</f>
        <v>6204000</v>
      </c>
      <c r="Y23" s="494">
        <v>0.8</v>
      </c>
      <c r="Z23" s="444"/>
      <c r="AA23" s="444"/>
      <c r="AB23" s="444"/>
      <c r="AC23" s="444"/>
      <c r="AD23" s="360">
        <f>X23</f>
        <v>6204000</v>
      </c>
      <c r="AE23" s="360"/>
      <c r="AF23" s="398"/>
      <c r="AG23" s="512"/>
      <c r="AH23" s="512"/>
      <c r="AI23" s="512"/>
      <c r="AJ23" s="512"/>
      <c r="AK23" s="512"/>
      <c r="AL23" s="512">
        <v>36</v>
      </c>
      <c r="AM23" s="512"/>
      <c r="AN23" s="512"/>
      <c r="AO23" s="512"/>
      <c r="AP23" s="512"/>
      <c r="AQ23" s="512"/>
      <c r="AR23" s="512"/>
    </row>
    <row r="24" spans="1:44" s="388" customFormat="1" ht="120" customHeight="1">
      <c r="A24" s="386">
        <v>9</v>
      </c>
      <c r="B24" s="510" t="s">
        <v>305</v>
      </c>
      <c r="C24" s="444">
        <v>116</v>
      </c>
      <c r="D24" s="444">
        <v>71</v>
      </c>
      <c r="E24" s="444">
        <v>1595.8</v>
      </c>
      <c r="F24" s="444" t="s">
        <v>45</v>
      </c>
      <c r="G24" s="444" t="s">
        <v>43</v>
      </c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 t="s">
        <v>312</v>
      </c>
      <c r="U24" s="444">
        <v>1</v>
      </c>
      <c r="V24" s="509" t="s">
        <v>268</v>
      </c>
      <c r="W24" s="514">
        <v>106000</v>
      </c>
      <c r="X24" s="360">
        <f>W24*U24*Y24</f>
        <v>84800</v>
      </c>
      <c r="Y24" s="494">
        <v>0.8</v>
      </c>
      <c r="Z24" s="444"/>
      <c r="AA24" s="444"/>
      <c r="AB24" s="444"/>
      <c r="AC24" s="444"/>
      <c r="AD24" s="452">
        <f>X24</f>
        <v>84800</v>
      </c>
      <c r="AE24" s="360"/>
      <c r="AF24" s="444"/>
      <c r="AG24" s="512"/>
      <c r="AH24" s="512"/>
      <c r="AI24" s="512"/>
      <c r="AJ24" s="512"/>
      <c r="AK24" s="512"/>
      <c r="AL24" s="512">
        <v>5</v>
      </c>
      <c r="AM24" s="512"/>
      <c r="AN24" s="512"/>
      <c r="AO24" s="512"/>
      <c r="AP24" s="512"/>
      <c r="AQ24" s="512"/>
      <c r="AR24" s="512"/>
    </row>
    <row r="25" spans="1:44" s="388" customFormat="1" ht="120" customHeight="1">
      <c r="A25" s="386">
        <v>9</v>
      </c>
      <c r="B25" s="510" t="s">
        <v>305</v>
      </c>
      <c r="C25" s="444">
        <v>116</v>
      </c>
      <c r="D25" s="444">
        <v>71</v>
      </c>
      <c r="E25" s="444">
        <v>1595.8</v>
      </c>
      <c r="F25" s="444" t="s">
        <v>45</v>
      </c>
      <c r="G25" s="444" t="s">
        <v>43</v>
      </c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 t="s">
        <v>313</v>
      </c>
      <c r="U25" s="444">
        <v>150</v>
      </c>
      <c r="V25" s="358" t="s">
        <v>276</v>
      </c>
      <c r="W25" s="360">
        <v>9500</v>
      </c>
      <c r="X25" s="360">
        <f aca="true" t="shared" si="11" ref="X25:X30">U25*W25*Y25</f>
        <v>1425000</v>
      </c>
      <c r="Y25" s="494">
        <v>1</v>
      </c>
      <c r="Z25" s="360"/>
      <c r="AA25" s="360"/>
      <c r="AB25" s="360"/>
      <c r="AC25" s="360"/>
      <c r="AD25" s="360">
        <f>X25</f>
        <v>1425000</v>
      </c>
      <c r="AE25" s="360"/>
      <c r="AF25" s="444"/>
      <c r="AG25" s="512"/>
      <c r="AH25" s="512"/>
      <c r="AI25" s="512"/>
      <c r="AJ25" s="512"/>
      <c r="AK25" s="512"/>
      <c r="AL25" s="512">
        <v>150</v>
      </c>
      <c r="AM25" s="512"/>
      <c r="AN25" s="512"/>
      <c r="AO25" s="512"/>
      <c r="AP25" s="512"/>
      <c r="AQ25" s="512"/>
      <c r="AR25" s="512"/>
    </row>
    <row r="26" spans="1:44" s="388" customFormat="1" ht="120" customHeight="1">
      <c r="A26" s="386">
        <v>10</v>
      </c>
      <c r="B26" s="510" t="s">
        <v>314</v>
      </c>
      <c r="C26" s="444">
        <v>116</v>
      </c>
      <c r="D26" s="444">
        <v>71</v>
      </c>
      <c r="E26" s="444">
        <v>1595.8</v>
      </c>
      <c r="F26" s="444" t="s">
        <v>45</v>
      </c>
      <c r="G26" s="444" t="s">
        <v>43</v>
      </c>
      <c r="H26" s="513"/>
      <c r="I26" s="444">
        <v>283.2</v>
      </c>
      <c r="J26" s="518"/>
      <c r="K26" s="518"/>
      <c r="L26" s="444"/>
      <c r="M26" s="444"/>
      <c r="N26" s="444">
        <f aca="true" t="shared" si="12" ref="N26:N31">SUM(H26:M26)</f>
        <v>283.2</v>
      </c>
      <c r="O26" s="444">
        <f aca="true" t="shared" si="13" ref="O26:O31">N26</f>
        <v>283.2</v>
      </c>
      <c r="P26" s="444"/>
      <c r="Q26" s="390">
        <f aca="true" t="shared" si="14" ref="Q26:Q31">N26*P26</f>
        <v>0</v>
      </c>
      <c r="R26" s="390">
        <f>N26*30000</f>
        <v>8496000</v>
      </c>
      <c r="S26" s="390"/>
      <c r="T26" s="358" t="s">
        <v>30</v>
      </c>
      <c r="U26" s="358">
        <f aca="true" t="shared" si="15" ref="U26:U31">N26</f>
        <v>283.2</v>
      </c>
      <c r="V26" s="358" t="s">
        <v>276</v>
      </c>
      <c r="W26" s="360">
        <v>9500</v>
      </c>
      <c r="X26" s="360">
        <f t="shared" si="11"/>
        <v>2690400</v>
      </c>
      <c r="Y26" s="494">
        <v>1</v>
      </c>
      <c r="Z26" s="360">
        <f aca="true" t="shared" si="16" ref="Z26:Z31">N26*10000</f>
        <v>2832000</v>
      </c>
      <c r="AA26" s="360">
        <f aca="true" t="shared" si="17" ref="AA26:AA31">N26*P26*3</f>
        <v>0</v>
      </c>
      <c r="AB26" s="360">
        <f aca="true" t="shared" si="18" ref="AB26:AB31">INT(N26/176.4)</f>
        <v>1</v>
      </c>
      <c r="AC26" s="361">
        <f aca="true" t="shared" si="19" ref="AC26:AC38">AB26*3500000</f>
        <v>3500000</v>
      </c>
      <c r="AD26" s="360">
        <f aca="true" t="shared" si="20" ref="AD26:AD31">Q26+X26+Z26+AA26+AC26</f>
        <v>9022400</v>
      </c>
      <c r="AE26" s="360">
        <f aca="true" t="shared" si="21" ref="AE26:AE39">AD26</f>
        <v>9022400</v>
      </c>
      <c r="AF26" s="444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</row>
    <row r="27" spans="1:44" s="388" customFormat="1" ht="120" customHeight="1">
      <c r="A27" s="386">
        <v>11</v>
      </c>
      <c r="B27" s="508" t="s">
        <v>221</v>
      </c>
      <c r="C27" s="444">
        <v>116</v>
      </c>
      <c r="D27" s="444">
        <v>71</v>
      </c>
      <c r="E27" s="444">
        <v>1595.8</v>
      </c>
      <c r="F27" s="444" t="s">
        <v>45</v>
      </c>
      <c r="G27" s="444" t="s">
        <v>43</v>
      </c>
      <c r="H27" s="444"/>
      <c r="I27" s="444">
        <v>28.2</v>
      </c>
      <c r="J27" s="444"/>
      <c r="K27" s="444"/>
      <c r="L27" s="444"/>
      <c r="M27" s="444"/>
      <c r="N27" s="444">
        <f t="shared" si="12"/>
        <v>28.2</v>
      </c>
      <c r="O27" s="444">
        <f t="shared" si="13"/>
        <v>28.2</v>
      </c>
      <c r="P27" s="360">
        <v>60000</v>
      </c>
      <c r="Q27" s="390">
        <f t="shared" si="14"/>
        <v>1692000</v>
      </c>
      <c r="R27" s="390"/>
      <c r="S27" s="390"/>
      <c r="T27" s="358" t="s">
        <v>30</v>
      </c>
      <c r="U27" s="358">
        <f t="shared" si="15"/>
        <v>28.2</v>
      </c>
      <c r="V27" s="358" t="s">
        <v>276</v>
      </c>
      <c r="W27" s="360">
        <v>9500</v>
      </c>
      <c r="X27" s="360">
        <f t="shared" si="11"/>
        <v>267900</v>
      </c>
      <c r="Y27" s="494">
        <v>1</v>
      </c>
      <c r="Z27" s="360">
        <f t="shared" si="16"/>
        <v>282000</v>
      </c>
      <c r="AA27" s="360">
        <f t="shared" si="17"/>
        <v>5076000</v>
      </c>
      <c r="AB27" s="360">
        <f t="shared" si="18"/>
        <v>0</v>
      </c>
      <c r="AC27" s="361">
        <f t="shared" si="19"/>
        <v>0</v>
      </c>
      <c r="AD27" s="360">
        <f t="shared" si="20"/>
        <v>7317900</v>
      </c>
      <c r="AE27" s="360">
        <f t="shared" si="21"/>
        <v>7317900</v>
      </c>
      <c r="AF27" s="444"/>
      <c r="AG27" s="512"/>
      <c r="AH27" s="512"/>
      <c r="AI27" s="512"/>
      <c r="AJ27" s="512"/>
      <c r="AK27" s="512"/>
      <c r="AL27" s="512"/>
      <c r="AM27" s="512"/>
      <c r="AN27" s="512"/>
      <c r="AO27" s="512"/>
      <c r="AP27" s="512"/>
      <c r="AQ27" s="512"/>
      <c r="AR27" s="512"/>
    </row>
    <row r="28" spans="1:44" s="388" customFormat="1" ht="120" customHeight="1">
      <c r="A28" s="386">
        <v>11</v>
      </c>
      <c r="B28" s="508" t="s">
        <v>221</v>
      </c>
      <c r="C28" s="444">
        <v>213</v>
      </c>
      <c r="D28" s="444">
        <v>72</v>
      </c>
      <c r="E28" s="444">
        <v>328.1</v>
      </c>
      <c r="F28" s="444" t="s">
        <v>45</v>
      </c>
      <c r="G28" s="444" t="s">
        <v>44</v>
      </c>
      <c r="H28" s="444"/>
      <c r="I28" s="444">
        <v>134.3</v>
      </c>
      <c r="J28" s="444"/>
      <c r="K28" s="444"/>
      <c r="L28" s="444"/>
      <c r="M28" s="444"/>
      <c r="N28" s="444">
        <f t="shared" si="12"/>
        <v>134.3</v>
      </c>
      <c r="O28" s="444">
        <f t="shared" si="13"/>
        <v>134.3</v>
      </c>
      <c r="P28" s="360">
        <v>60000</v>
      </c>
      <c r="Q28" s="390">
        <f t="shared" si="14"/>
        <v>8058000.000000001</v>
      </c>
      <c r="R28" s="390"/>
      <c r="S28" s="390"/>
      <c r="T28" s="358" t="s">
        <v>30</v>
      </c>
      <c r="U28" s="358">
        <f t="shared" si="15"/>
        <v>134.3</v>
      </c>
      <c r="V28" s="358" t="s">
        <v>276</v>
      </c>
      <c r="W28" s="360">
        <v>9500</v>
      </c>
      <c r="X28" s="360">
        <f t="shared" si="11"/>
        <v>1275850</v>
      </c>
      <c r="Y28" s="494">
        <v>1</v>
      </c>
      <c r="Z28" s="360">
        <f t="shared" si="16"/>
        <v>1343000</v>
      </c>
      <c r="AA28" s="360">
        <f t="shared" si="17"/>
        <v>24174000.000000004</v>
      </c>
      <c r="AB28" s="360">
        <f t="shared" si="18"/>
        <v>0</v>
      </c>
      <c r="AC28" s="361">
        <f t="shared" si="19"/>
        <v>0</v>
      </c>
      <c r="AD28" s="360">
        <f t="shared" si="20"/>
        <v>34850850</v>
      </c>
      <c r="AE28" s="360">
        <f t="shared" si="21"/>
        <v>34850850</v>
      </c>
      <c r="AF28" s="444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</row>
    <row r="29" spans="1:44" s="388" customFormat="1" ht="120" customHeight="1">
      <c r="A29" s="386">
        <v>12</v>
      </c>
      <c r="B29" s="508" t="s">
        <v>316</v>
      </c>
      <c r="C29" s="444">
        <v>213</v>
      </c>
      <c r="D29" s="444">
        <v>72</v>
      </c>
      <c r="E29" s="444">
        <v>328.1</v>
      </c>
      <c r="F29" s="444" t="s">
        <v>45</v>
      </c>
      <c r="G29" s="444" t="s">
        <v>44</v>
      </c>
      <c r="H29" s="444">
        <f>217.4-23.6</f>
        <v>193.8</v>
      </c>
      <c r="I29" s="444"/>
      <c r="J29" s="517"/>
      <c r="K29" s="517"/>
      <c r="L29" s="495"/>
      <c r="M29" s="495"/>
      <c r="N29" s="444">
        <f t="shared" si="12"/>
        <v>193.8</v>
      </c>
      <c r="O29" s="444">
        <f t="shared" si="13"/>
        <v>193.8</v>
      </c>
      <c r="P29" s="360">
        <v>60000</v>
      </c>
      <c r="Q29" s="390">
        <f t="shared" si="14"/>
        <v>11628000</v>
      </c>
      <c r="R29" s="390"/>
      <c r="S29" s="390"/>
      <c r="T29" s="358" t="s">
        <v>30</v>
      </c>
      <c r="U29" s="358">
        <f t="shared" si="15"/>
        <v>193.8</v>
      </c>
      <c r="V29" s="358" t="s">
        <v>276</v>
      </c>
      <c r="W29" s="360">
        <v>9500</v>
      </c>
      <c r="X29" s="360">
        <f t="shared" si="11"/>
        <v>1841100</v>
      </c>
      <c r="Y29" s="494">
        <v>1</v>
      </c>
      <c r="Z29" s="360">
        <f t="shared" si="16"/>
        <v>1938000</v>
      </c>
      <c r="AA29" s="360">
        <f t="shared" si="17"/>
        <v>34884000</v>
      </c>
      <c r="AB29" s="360">
        <f t="shared" si="18"/>
        <v>1</v>
      </c>
      <c r="AC29" s="361">
        <f t="shared" si="19"/>
        <v>3500000</v>
      </c>
      <c r="AD29" s="360">
        <f t="shared" si="20"/>
        <v>53791100</v>
      </c>
      <c r="AE29" s="360">
        <f t="shared" si="21"/>
        <v>53791100</v>
      </c>
      <c r="AF29" s="444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512"/>
      <c r="AR29" s="512"/>
    </row>
    <row r="30" spans="1:44" s="388" customFormat="1" ht="120" customHeight="1">
      <c r="A30" s="386">
        <v>12</v>
      </c>
      <c r="B30" s="508" t="s">
        <v>316</v>
      </c>
      <c r="C30" s="444">
        <v>213</v>
      </c>
      <c r="D30" s="444">
        <v>72</v>
      </c>
      <c r="E30" s="444">
        <v>328.1</v>
      </c>
      <c r="F30" s="444" t="s">
        <v>315</v>
      </c>
      <c r="G30" s="444" t="s">
        <v>44</v>
      </c>
      <c r="H30" s="444">
        <v>23.6</v>
      </c>
      <c r="I30" s="517"/>
      <c r="J30" s="517"/>
      <c r="K30" s="517"/>
      <c r="L30" s="495"/>
      <c r="M30" s="495"/>
      <c r="N30" s="444">
        <f t="shared" si="12"/>
        <v>23.6</v>
      </c>
      <c r="O30" s="444">
        <f t="shared" si="13"/>
        <v>23.6</v>
      </c>
      <c r="P30" s="360">
        <v>60000</v>
      </c>
      <c r="Q30" s="390">
        <f t="shared" si="14"/>
        <v>1416000</v>
      </c>
      <c r="R30" s="390"/>
      <c r="S30" s="390"/>
      <c r="T30" s="358" t="s">
        <v>30</v>
      </c>
      <c r="U30" s="358">
        <f t="shared" si="15"/>
        <v>23.6</v>
      </c>
      <c r="V30" s="358" t="s">
        <v>276</v>
      </c>
      <c r="W30" s="360">
        <v>9500</v>
      </c>
      <c r="X30" s="360">
        <f t="shared" si="11"/>
        <v>224200</v>
      </c>
      <c r="Y30" s="494">
        <v>1</v>
      </c>
      <c r="Z30" s="360">
        <f t="shared" si="16"/>
        <v>236000</v>
      </c>
      <c r="AA30" s="360">
        <f t="shared" si="17"/>
        <v>4248000</v>
      </c>
      <c r="AB30" s="360">
        <f t="shared" si="18"/>
        <v>0</v>
      </c>
      <c r="AC30" s="361">
        <f t="shared" si="19"/>
        <v>0</v>
      </c>
      <c r="AD30" s="360">
        <f t="shared" si="20"/>
        <v>6124200</v>
      </c>
      <c r="AE30" s="360">
        <f t="shared" si="21"/>
        <v>6124200</v>
      </c>
      <c r="AF30" s="444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</row>
    <row r="31" spans="1:44" s="388" customFormat="1" ht="126.75" customHeight="1">
      <c r="A31" s="386">
        <v>13</v>
      </c>
      <c r="B31" s="508" t="s">
        <v>317</v>
      </c>
      <c r="C31" s="444">
        <v>61</v>
      </c>
      <c r="D31" s="444">
        <v>72</v>
      </c>
      <c r="E31" s="444">
        <v>44.2</v>
      </c>
      <c r="F31" s="444" t="s">
        <v>0</v>
      </c>
      <c r="G31" s="444" t="s">
        <v>43</v>
      </c>
      <c r="H31" s="516"/>
      <c r="I31" s="444">
        <f>E31</f>
        <v>44.2</v>
      </c>
      <c r="J31" s="517"/>
      <c r="K31" s="517"/>
      <c r="L31" s="495"/>
      <c r="M31" s="495"/>
      <c r="N31" s="444">
        <f t="shared" si="12"/>
        <v>44.2</v>
      </c>
      <c r="O31" s="444">
        <f t="shared" si="13"/>
        <v>44.2</v>
      </c>
      <c r="P31" s="360">
        <v>60000</v>
      </c>
      <c r="Q31" s="390">
        <f t="shared" si="14"/>
        <v>2652000</v>
      </c>
      <c r="R31" s="390"/>
      <c r="S31" s="390"/>
      <c r="T31" s="358" t="s">
        <v>30</v>
      </c>
      <c r="U31" s="358">
        <f t="shared" si="15"/>
        <v>44.2</v>
      </c>
      <c r="V31" s="358" t="s">
        <v>276</v>
      </c>
      <c r="W31" s="360">
        <v>9500</v>
      </c>
      <c r="X31" s="360">
        <f>U31*W31*Y31</f>
        <v>419900</v>
      </c>
      <c r="Y31" s="494">
        <v>1</v>
      </c>
      <c r="Z31" s="360">
        <f t="shared" si="16"/>
        <v>442000</v>
      </c>
      <c r="AA31" s="360">
        <f t="shared" si="17"/>
        <v>7956000</v>
      </c>
      <c r="AB31" s="360">
        <f t="shared" si="18"/>
        <v>0</v>
      </c>
      <c r="AC31" s="361">
        <f>AB31*3500000</f>
        <v>0</v>
      </c>
      <c r="AD31" s="360">
        <f t="shared" si="20"/>
        <v>11469900</v>
      </c>
      <c r="AE31" s="360">
        <f>AD31</f>
        <v>11469900</v>
      </c>
      <c r="AF31" s="444"/>
      <c r="AG31" s="512"/>
      <c r="AH31" s="512"/>
      <c r="AI31" s="512"/>
      <c r="AJ31" s="512"/>
      <c r="AK31" s="512"/>
      <c r="AL31" s="512"/>
      <c r="AM31" s="512"/>
      <c r="AN31" s="512"/>
      <c r="AO31" s="512"/>
      <c r="AP31" s="512"/>
      <c r="AQ31" s="512"/>
      <c r="AR31" s="512"/>
    </row>
    <row r="32" spans="1:44" s="504" customFormat="1" ht="74.25" customHeight="1">
      <c r="A32" s="394"/>
      <c r="B32" s="519" t="s">
        <v>59</v>
      </c>
      <c r="C32" s="394"/>
      <c r="D32" s="394"/>
      <c r="E32" s="520"/>
      <c r="F32" s="394"/>
      <c r="G32" s="389"/>
      <c r="H32" s="389">
        <f aca="true" t="shared" si="22" ref="H32:O32">SUM(H33:H33)</f>
        <v>0</v>
      </c>
      <c r="I32" s="389">
        <f t="shared" si="22"/>
        <v>200.8</v>
      </c>
      <c r="J32" s="389">
        <f t="shared" si="22"/>
        <v>0</v>
      </c>
      <c r="K32" s="389"/>
      <c r="L32" s="389">
        <f t="shared" si="22"/>
        <v>0</v>
      </c>
      <c r="M32" s="389"/>
      <c r="N32" s="389">
        <f t="shared" si="22"/>
        <v>200.8</v>
      </c>
      <c r="O32" s="389">
        <f t="shared" si="22"/>
        <v>200.8</v>
      </c>
      <c r="P32" s="389"/>
      <c r="Q32" s="390">
        <f>SUM(Q33:Q33)</f>
        <v>12048000</v>
      </c>
      <c r="R32" s="390"/>
      <c r="S32" s="390"/>
      <c r="T32" s="390"/>
      <c r="U32" s="358">
        <f>SUM(U33:U33)</f>
        <v>200.8</v>
      </c>
      <c r="V32" s="390"/>
      <c r="W32" s="390">
        <f>SUM(W33:W33)</f>
        <v>9500</v>
      </c>
      <c r="X32" s="390">
        <f>SUM(X33:X33)</f>
        <v>1907600</v>
      </c>
      <c r="Y32" s="390"/>
      <c r="Z32" s="390">
        <f aca="true" t="shared" si="23" ref="Z32:AE32">SUM(Z33:Z33)</f>
        <v>2008000</v>
      </c>
      <c r="AA32" s="390">
        <f t="shared" si="23"/>
        <v>36144000</v>
      </c>
      <c r="AB32" s="390">
        <f t="shared" si="23"/>
        <v>1</v>
      </c>
      <c r="AC32" s="390">
        <f>AB32*350000</f>
        <v>350000</v>
      </c>
      <c r="AD32" s="390">
        <f t="shared" si="23"/>
        <v>55607600</v>
      </c>
      <c r="AE32" s="390">
        <f t="shared" si="23"/>
        <v>55607600</v>
      </c>
      <c r="AF32" s="394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</row>
    <row r="33" spans="1:44" s="388" customFormat="1" ht="126.75" customHeight="1">
      <c r="A33" s="386">
        <v>1</v>
      </c>
      <c r="B33" s="508" t="s">
        <v>318</v>
      </c>
      <c r="C33" s="446">
        <v>59</v>
      </c>
      <c r="D33" s="446">
        <v>81</v>
      </c>
      <c r="E33" s="464">
        <v>200.8</v>
      </c>
      <c r="F33" s="446" t="s">
        <v>45</v>
      </c>
      <c r="G33" s="444" t="s">
        <v>37</v>
      </c>
      <c r="H33" s="521"/>
      <c r="I33" s="511">
        <v>200.8</v>
      </c>
      <c r="J33" s="511"/>
      <c r="K33" s="511"/>
      <c r="L33" s="446"/>
      <c r="M33" s="446"/>
      <c r="N33" s="444">
        <f>SUM(H33:M33)</f>
        <v>200.8</v>
      </c>
      <c r="O33" s="444">
        <f>N33</f>
        <v>200.8</v>
      </c>
      <c r="P33" s="360">
        <v>60000</v>
      </c>
      <c r="Q33" s="390">
        <f>N33*P33</f>
        <v>12048000</v>
      </c>
      <c r="R33" s="390"/>
      <c r="S33" s="390"/>
      <c r="T33" s="358" t="s">
        <v>30</v>
      </c>
      <c r="U33" s="358">
        <f>N33</f>
        <v>200.8</v>
      </c>
      <c r="V33" s="358" t="s">
        <v>276</v>
      </c>
      <c r="W33" s="360">
        <v>9500</v>
      </c>
      <c r="X33" s="360">
        <f>U33*W33*Y33</f>
        <v>1907600</v>
      </c>
      <c r="Y33" s="494">
        <v>1</v>
      </c>
      <c r="Z33" s="360">
        <f>N33*10000</f>
        <v>2008000</v>
      </c>
      <c r="AA33" s="360">
        <f>N33*P33*3</f>
        <v>36144000</v>
      </c>
      <c r="AB33" s="360">
        <f>INT(N33/176.4)</f>
        <v>1</v>
      </c>
      <c r="AC33" s="361">
        <f t="shared" si="19"/>
        <v>3500000</v>
      </c>
      <c r="AD33" s="360">
        <f>Q33+X33+Z33+AA33+AC33</f>
        <v>55607600</v>
      </c>
      <c r="AE33" s="360">
        <f t="shared" si="21"/>
        <v>55607600</v>
      </c>
      <c r="AF33" s="444"/>
      <c r="AG33" s="512"/>
      <c r="AH33" s="512"/>
      <c r="AI33" s="512"/>
      <c r="AJ33" s="512"/>
      <c r="AK33" s="512"/>
      <c r="AL33" s="512"/>
      <c r="AM33" s="512"/>
      <c r="AN33" s="512"/>
      <c r="AO33" s="512"/>
      <c r="AP33" s="512"/>
      <c r="AQ33" s="512"/>
      <c r="AR33" s="512"/>
    </row>
    <row r="34" spans="1:44" s="388" customFormat="1" ht="126.75" customHeight="1">
      <c r="A34" s="386">
        <v>2</v>
      </c>
      <c r="B34" s="508" t="s">
        <v>322</v>
      </c>
      <c r="C34" s="921">
        <v>29</v>
      </c>
      <c r="D34" s="921">
        <v>81</v>
      </c>
      <c r="E34" s="923">
        <v>333.7</v>
      </c>
      <c r="F34" s="921" t="s">
        <v>0</v>
      </c>
      <c r="G34" s="921" t="s">
        <v>296</v>
      </c>
      <c r="H34" s="923">
        <v>333.7</v>
      </c>
      <c r="I34" s="925"/>
      <c r="J34" s="925"/>
      <c r="K34" s="925"/>
      <c r="L34" s="925"/>
      <c r="M34" s="925"/>
      <c r="N34" s="923">
        <f>SUM(H34:M34)</f>
        <v>333.7</v>
      </c>
      <c r="O34" s="923">
        <f>N34</f>
        <v>333.7</v>
      </c>
      <c r="P34" s="927">
        <v>60000</v>
      </c>
      <c r="Q34" s="929">
        <f>N34*P34</f>
        <v>20022000</v>
      </c>
      <c r="R34" s="396"/>
      <c r="S34" s="396"/>
      <c r="T34" s="931" t="s">
        <v>30</v>
      </c>
      <c r="U34" s="931">
        <f>N34</f>
        <v>333.7</v>
      </c>
      <c r="V34" s="931" t="s">
        <v>276</v>
      </c>
      <c r="W34" s="927">
        <v>9500</v>
      </c>
      <c r="X34" s="927">
        <f>U34*W34*Y34</f>
        <v>3170150</v>
      </c>
      <c r="Y34" s="933">
        <v>1</v>
      </c>
      <c r="Z34" s="927">
        <f>N34*10000</f>
        <v>3337000</v>
      </c>
      <c r="AA34" s="927">
        <f>N34*P34*3</f>
        <v>60066000</v>
      </c>
      <c r="AB34" s="927">
        <f>INT(N34/176.4)</f>
        <v>1</v>
      </c>
      <c r="AC34" s="935">
        <f t="shared" si="19"/>
        <v>3500000</v>
      </c>
      <c r="AD34" s="927">
        <f>Q34+X34+Z34+AA34+AC34</f>
        <v>90095150</v>
      </c>
      <c r="AE34" s="927">
        <f t="shared" si="21"/>
        <v>90095150</v>
      </c>
      <c r="AF34" s="444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</row>
    <row r="35" spans="1:44" s="388" customFormat="1" ht="126.75" customHeight="1">
      <c r="A35" s="386">
        <v>3</v>
      </c>
      <c r="B35" s="508" t="s">
        <v>323</v>
      </c>
      <c r="C35" s="922"/>
      <c r="D35" s="922"/>
      <c r="E35" s="924"/>
      <c r="F35" s="922"/>
      <c r="G35" s="922"/>
      <c r="H35" s="924"/>
      <c r="I35" s="926"/>
      <c r="J35" s="926"/>
      <c r="K35" s="926"/>
      <c r="L35" s="926"/>
      <c r="M35" s="926"/>
      <c r="N35" s="924"/>
      <c r="O35" s="924"/>
      <c r="P35" s="928"/>
      <c r="Q35" s="930"/>
      <c r="R35" s="526"/>
      <c r="S35" s="526"/>
      <c r="T35" s="932"/>
      <c r="U35" s="932"/>
      <c r="V35" s="932"/>
      <c r="W35" s="928"/>
      <c r="X35" s="928"/>
      <c r="Y35" s="934"/>
      <c r="Z35" s="928"/>
      <c r="AA35" s="928"/>
      <c r="AB35" s="928"/>
      <c r="AC35" s="936"/>
      <c r="AD35" s="928"/>
      <c r="AE35" s="928"/>
      <c r="AF35" s="444"/>
      <c r="AG35" s="512"/>
      <c r="AH35" s="512"/>
      <c r="AI35" s="512"/>
      <c r="AJ35" s="512"/>
      <c r="AK35" s="512"/>
      <c r="AL35" s="512"/>
      <c r="AM35" s="512"/>
      <c r="AN35" s="512"/>
      <c r="AO35" s="512"/>
      <c r="AP35" s="512"/>
      <c r="AQ35" s="512"/>
      <c r="AR35" s="512"/>
    </row>
    <row r="36" spans="1:44" s="388" customFormat="1" ht="126.75" customHeight="1">
      <c r="A36" s="386">
        <v>4</v>
      </c>
      <c r="B36" s="508" t="s">
        <v>319</v>
      </c>
      <c r="C36" s="444">
        <v>108</v>
      </c>
      <c r="D36" s="444">
        <v>81</v>
      </c>
      <c r="E36" s="444">
        <v>567.2</v>
      </c>
      <c r="F36" s="444" t="s">
        <v>0</v>
      </c>
      <c r="G36" s="444" t="s">
        <v>37</v>
      </c>
      <c r="H36" s="527">
        <v>485.3</v>
      </c>
      <c r="I36" s="511">
        <f>529.6-H36</f>
        <v>44.30000000000001</v>
      </c>
      <c r="J36" s="511"/>
      <c r="K36" s="511"/>
      <c r="L36" s="522"/>
      <c r="M36" s="522"/>
      <c r="N36" s="444">
        <f>SUM(H36:M36)</f>
        <v>529.6</v>
      </c>
      <c r="O36" s="444">
        <f>N36</f>
        <v>529.6</v>
      </c>
      <c r="P36" s="360">
        <v>60000</v>
      </c>
      <c r="Q36" s="390">
        <f>N36*P36</f>
        <v>31776000</v>
      </c>
      <c r="R36" s="390"/>
      <c r="S36" s="390"/>
      <c r="T36" s="358" t="s">
        <v>313</v>
      </c>
      <c r="U36" s="358">
        <f>N36</f>
        <v>529.6</v>
      </c>
      <c r="V36" s="358" t="s">
        <v>276</v>
      </c>
      <c r="W36" s="360">
        <v>9500</v>
      </c>
      <c r="X36" s="360">
        <f aca="true" t="shared" si="24" ref="X36:X41">U36*W36*Y36</f>
        <v>5031200</v>
      </c>
      <c r="Y36" s="494">
        <v>1</v>
      </c>
      <c r="Z36" s="360">
        <f>N36*10000</f>
        <v>5296000</v>
      </c>
      <c r="AA36" s="360">
        <f>N36*P36*3</f>
        <v>95328000</v>
      </c>
      <c r="AB36" s="360">
        <f>INT(N36/176.4)</f>
        <v>3</v>
      </c>
      <c r="AC36" s="361">
        <f t="shared" si="19"/>
        <v>10500000</v>
      </c>
      <c r="AD36" s="360">
        <f>Q36+X36+Z36+AA36+AC36</f>
        <v>147931200</v>
      </c>
      <c r="AE36" s="360">
        <f t="shared" si="21"/>
        <v>147931200</v>
      </c>
      <c r="AF36" s="444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</row>
    <row r="37" spans="1:44" s="388" customFormat="1" ht="126.75" customHeight="1">
      <c r="A37" s="386">
        <v>4</v>
      </c>
      <c r="B37" s="508" t="s">
        <v>319</v>
      </c>
      <c r="C37" s="444">
        <v>79</v>
      </c>
      <c r="D37" s="444">
        <v>81</v>
      </c>
      <c r="E37" s="444">
        <v>186.7</v>
      </c>
      <c r="F37" s="444" t="s">
        <v>45</v>
      </c>
      <c r="G37" s="444" t="s">
        <v>321</v>
      </c>
      <c r="H37" s="511">
        <f>163.3-38.6</f>
        <v>124.70000000000002</v>
      </c>
      <c r="I37" s="511">
        <f>145.9-H37</f>
        <v>21.19999999999999</v>
      </c>
      <c r="J37" s="511"/>
      <c r="K37" s="511"/>
      <c r="L37" s="522"/>
      <c r="M37" s="522"/>
      <c r="N37" s="444">
        <f>SUM(H37:M37)</f>
        <v>145.9</v>
      </c>
      <c r="O37" s="444">
        <f>N37</f>
        <v>145.9</v>
      </c>
      <c r="P37" s="360">
        <v>60000</v>
      </c>
      <c r="Q37" s="390">
        <f>N37*P37</f>
        <v>8754000</v>
      </c>
      <c r="R37" s="390"/>
      <c r="S37" s="390"/>
      <c r="T37" s="358" t="s">
        <v>313</v>
      </c>
      <c r="U37" s="358">
        <f>N37</f>
        <v>145.9</v>
      </c>
      <c r="V37" s="358" t="s">
        <v>276</v>
      </c>
      <c r="W37" s="360">
        <v>9500</v>
      </c>
      <c r="X37" s="360">
        <f t="shared" si="24"/>
        <v>1386050</v>
      </c>
      <c r="Y37" s="494">
        <v>1</v>
      </c>
      <c r="Z37" s="360">
        <f>N37*10000</f>
        <v>1459000</v>
      </c>
      <c r="AA37" s="360">
        <f>N37*P37*3</f>
        <v>26262000</v>
      </c>
      <c r="AB37" s="360">
        <f>INT(N37/176.4)</f>
        <v>0</v>
      </c>
      <c r="AC37" s="361">
        <f t="shared" si="19"/>
        <v>0</v>
      </c>
      <c r="AD37" s="360">
        <f>Q37+X37+Z37+AA37+AC37</f>
        <v>37861050</v>
      </c>
      <c r="AE37" s="360">
        <f t="shared" si="21"/>
        <v>37861050</v>
      </c>
      <c r="AF37" s="444"/>
      <c r="AG37" s="512"/>
      <c r="AH37" s="512"/>
      <c r="AI37" s="512"/>
      <c r="AJ37" s="512"/>
      <c r="AK37" s="512"/>
      <c r="AL37" s="512"/>
      <c r="AM37" s="512"/>
      <c r="AN37" s="512"/>
      <c r="AO37" s="512"/>
      <c r="AP37" s="512"/>
      <c r="AQ37" s="512"/>
      <c r="AR37" s="512"/>
    </row>
    <row r="38" spans="1:44" s="388" customFormat="1" ht="126.75" customHeight="1">
      <c r="A38" s="386">
        <v>4</v>
      </c>
      <c r="B38" s="508" t="s">
        <v>319</v>
      </c>
      <c r="C38" s="444">
        <v>73</v>
      </c>
      <c r="D38" s="444">
        <v>81</v>
      </c>
      <c r="E38" s="444">
        <v>439.8</v>
      </c>
      <c r="F38" s="444" t="s">
        <v>45</v>
      </c>
      <c r="G38" s="444" t="s">
        <v>37</v>
      </c>
      <c r="H38" s="511"/>
      <c r="I38" s="511">
        <v>80</v>
      </c>
      <c r="J38" s="511"/>
      <c r="K38" s="511"/>
      <c r="L38" s="522"/>
      <c r="M38" s="522"/>
      <c r="N38" s="444">
        <f>SUM(H38:M38)</f>
        <v>80</v>
      </c>
      <c r="O38" s="444">
        <f>N38</f>
        <v>80</v>
      </c>
      <c r="P38" s="360">
        <v>60000</v>
      </c>
      <c r="Q38" s="390">
        <f>N38*P38</f>
        <v>4800000</v>
      </c>
      <c r="R38" s="390"/>
      <c r="S38" s="390"/>
      <c r="T38" s="358" t="s">
        <v>313</v>
      </c>
      <c r="U38" s="358">
        <v>30</v>
      </c>
      <c r="V38" s="358" t="s">
        <v>276</v>
      </c>
      <c r="W38" s="360">
        <v>9500</v>
      </c>
      <c r="X38" s="360">
        <f t="shared" si="24"/>
        <v>285000</v>
      </c>
      <c r="Y38" s="494">
        <v>1</v>
      </c>
      <c r="Z38" s="360">
        <f>N38*10000</f>
        <v>800000</v>
      </c>
      <c r="AA38" s="360">
        <f>N38*P38*3</f>
        <v>14400000</v>
      </c>
      <c r="AB38" s="360">
        <f>INT(N38/176.4)</f>
        <v>0</v>
      </c>
      <c r="AC38" s="361">
        <f t="shared" si="19"/>
        <v>0</v>
      </c>
      <c r="AD38" s="360">
        <f>Q38+X38+Z38+AA38+AC38</f>
        <v>20285000</v>
      </c>
      <c r="AE38" s="360">
        <f t="shared" si="21"/>
        <v>20285000</v>
      </c>
      <c r="AF38" s="444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512"/>
    </row>
    <row r="39" spans="1:44" s="388" customFormat="1" ht="126.75" customHeight="1">
      <c r="A39" s="386"/>
      <c r="B39" s="508"/>
      <c r="C39" s="444"/>
      <c r="D39" s="444"/>
      <c r="E39" s="444"/>
      <c r="F39" s="444"/>
      <c r="G39" s="444"/>
      <c r="H39" s="511"/>
      <c r="I39" s="511"/>
      <c r="J39" s="511"/>
      <c r="K39" s="511"/>
      <c r="L39" s="522"/>
      <c r="M39" s="522"/>
      <c r="N39" s="444"/>
      <c r="O39" s="444"/>
      <c r="P39" s="360"/>
      <c r="Q39" s="390"/>
      <c r="R39" s="390"/>
      <c r="S39" s="390"/>
      <c r="T39" s="529" t="s">
        <v>325</v>
      </c>
      <c r="U39" s="528">
        <f>5.15*8.1</f>
        <v>41.715</v>
      </c>
      <c r="V39" s="358" t="s">
        <v>276</v>
      </c>
      <c r="W39" s="360">
        <v>1070000</v>
      </c>
      <c r="X39" s="360">
        <f t="shared" si="24"/>
        <v>35708040</v>
      </c>
      <c r="Y39" s="494">
        <v>0.8</v>
      </c>
      <c r="Z39" s="360"/>
      <c r="AA39" s="360"/>
      <c r="AB39" s="360"/>
      <c r="AC39" s="361"/>
      <c r="AD39" s="360">
        <f>X39</f>
        <v>35708040</v>
      </c>
      <c r="AE39" s="360">
        <f t="shared" si="21"/>
        <v>35708040</v>
      </c>
      <c r="AF39" s="444"/>
      <c r="AG39" s="512"/>
      <c r="AH39" s="512"/>
      <c r="AI39" s="512"/>
      <c r="AJ39" s="512"/>
      <c r="AK39" s="512"/>
      <c r="AL39" s="512"/>
      <c r="AM39" s="512"/>
      <c r="AN39" s="512"/>
      <c r="AO39" s="512"/>
      <c r="AP39" s="512"/>
      <c r="AQ39" s="512"/>
      <c r="AR39" s="512"/>
    </row>
    <row r="40" spans="1:44" s="388" customFormat="1" ht="126.75" customHeight="1">
      <c r="A40" s="386"/>
      <c r="B40" s="508"/>
      <c r="C40" s="444"/>
      <c r="D40" s="444"/>
      <c r="E40" s="444"/>
      <c r="F40" s="444"/>
      <c r="G40" s="444"/>
      <c r="H40" s="511"/>
      <c r="I40" s="511"/>
      <c r="J40" s="511"/>
      <c r="K40" s="511"/>
      <c r="L40" s="522"/>
      <c r="M40" s="522"/>
      <c r="N40" s="444"/>
      <c r="O40" s="444"/>
      <c r="P40" s="360"/>
      <c r="Q40" s="390"/>
      <c r="R40" s="390"/>
      <c r="S40" s="390"/>
      <c r="T40" s="529" t="s">
        <v>324</v>
      </c>
      <c r="U40" s="528">
        <f>0.45*11.5</f>
        <v>5.175</v>
      </c>
      <c r="V40" s="358" t="s">
        <v>276</v>
      </c>
      <c r="W40" s="360">
        <v>430000</v>
      </c>
      <c r="X40" s="360">
        <f t="shared" si="24"/>
        <v>1780200</v>
      </c>
      <c r="Y40" s="494">
        <v>0.8</v>
      </c>
      <c r="Z40" s="360"/>
      <c r="AA40" s="360"/>
      <c r="AB40" s="360"/>
      <c r="AC40" s="361"/>
      <c r="AD40" s="360">
        <f>X40</f>
        <v>1780200</v>
      </c>
      <c r="AE40" s="360">
        <f>AD40</f>
        <v>1780200</v>
      </c>
      <c r="AF40" s="444"/>
      <c r="AG40" s="512"/>
      <c r="AH40" s="512"/>
      <c r="AI40" s="512"/>
      <c r="AJ40" s="512"/>
      <c r="AK40" s="512"/>
      <c r="AL40" s="512"/>
      <c r="AM40" s="512"/>
      <c r="AN40" s="512"/>
      <c r="AO40" s="512"/>
      <c r="AP40" s="512"/>
      <c r="AQ40" s="512"/>
      <c r="AR40" s="512"/>
    </row>
    <row r="41" spans="1:44" s="388" customFormat="1" ht="126.75" customHeight="1">
      <c r="A41" s="386"/>
      <c r="B41" s="508"/>
      <c r="C41" s="444"/>
      <c r="D41" s="444"/>
      <c r="E41" s="444"/>
      <c r="F41" s="444"/>
      <c r="G41" s="444"/>
      <c r="H41" s="511"/>
      <c r="I41" s="511"/>
      <c r="J41" s="511"/>
      <c r="K41" s="511"/>
      <c r="L41" s="522"/>
      <c r="M41" s="522"/>
      <c r="N41" s="444"/>
      <c r="O41" s="444"/>
      <c r="P41" s="360"/>
      <c r="Q41" s="390"/>
      <c r="R41" s="390"/>
      <c r="S41" s="390"/>
      <c r="T41" s="529" t="s">
        <v>326</v>
      </c>
      <c r="U41" s="528">
        <f>11*1.7</f>
        <v>18.7</v>
      </c>
      <c r="V41" s="358" t="s">
        <v>276</v>
      </c>
      <c r="W41" s="360">
        <v>90000</v>
      </c>
      <c r="X41" s="360">
        <f t="shared" si="24"/>
        <v>1346400</v>
      </c>
      <c r="Y41" s="494">
        <v>0.8</v>
      </c>
      <c r="Z41" s="360"/>
      <c r="AA41" s="360"/>
      <c r="AB41" s="360"/>
      <c r="AC41" s="361"/>
      <c r="AD41" s="360">
        <f>X41</f>
        <v>1346400</v>
      </c>
      <c r="AE41" s="360">
        <f>AD41</f>
        <v>1346400</v>
      </c>
      <c r="AF41" s="444" t="s">
        <v>327</v>
      </c>
      <c r="AG41" s="512"/>
      <c r="AH41" s="512"/>
      <c r="AI41" s="512"/>
      <c r="AJ41" s="512"/>
      <c r="AK41" s="512"/>
      <c r="AL41" s="512"/>
      <c r="AM41" s="512"/>
      <c r="AN41" s="512"/>
      <c r="AO41" s="512"/>
      <c r="AP41" s="512"/>
      <c r="AQ41" s="512"/>
      <c r="AR41" s="512"/>
    </row>
    <row r="42" spans="1:44" s="388" customFormat="1" ht="126.75" customHeight="1">
      <c r="A42" s="386">
        <v>5</v>
      </c>
      <c r="B42" s="508" t="s">
        <v>320</v>
      </c>
      <c r="C42" s="444">
        <v>73</v>
      </c>
      <c r="D42" s="444">
        <v>81</v>
      </c>
      <c r="E42" s="444">
        <v>439.8</v>
      </c>
      <c r="F42" s="444" t="s">
        <v>45</v>
      </c>
      <c r="G42" s="444" t="s">
        <v>37</v>
      </c>
      <c r="H42" s="511"/>
      <c r="I42" s="511">
        <f>383.4-80</f>
        <v>303.4</v>
      </c>
      <c r="J42" s="511"/>
      <c r="K42" s="511"/>
      <c r="L42" s="522"/>
      <c r="M42" s="522"/>
      <c r="N42" s="444">
        <f>SUM(H42:M42)</f>
        <v>303.4</v>
      </c>
      <c r="O42" s="444">
        <f>N42</f>
        <v>303.4</v>
      </c>
      <c r="P42" s="360">
        <v>60000</v>
      </c>
      <c r="Q42" s="390">
        <f>N42*P42</f>
        <v>18204000</v>
      </c>
      <c r="R42" s="390"/>
      <c r="S42" s="390"/>
      <c r="T42" s="358"/>
      <c r="U42" s="358"/>
      <c r="V42" s="358"/>
      <c r="W42" s="360"/>
      <c r="X42" s="360"/>
      <c r="Y42" s="494"/>
      <c r="Z42" s="360">
        <f>N42*10000</f>
        <v>3034000</v>
      </c>
      <c r="AA42" s="360">
        <f>N42*P42*3</f>
        <v>54612000</v>
      </c>
      <c r="AB42" s="360">
        <f>INT(N42/176.4)</f>
        <v>1</v>
      </c>
      <c r="AC42" s="361">
        <f>AB42*3500000</f>
        <v>3500000</v>
      </c>
      <c r="AD42" s="360"/>
      <c r="AE42" s="360"/>
      <c r="AF42" s="444"/>
      <c r="AG42" s="512"/>
      <c r="AH42" s="512"/>
      <c r="AI42" s="512"/>
      <c r="AJ42" s="512"/>
      <c r="AK42" s="512"/>
      <c r="AL42" s="512"/>
      <c r="AM42" s="512"/>
      <c r="AN42" s="512"/>
      <c r="AO42" s="512"/>
      <c r="AP42" s="512"/>
      <c r="AQ42" s="512"/>
      <c r="AR42" s="512"/>
    </row>
    <row r="43" spans="1:44" s="388" customFormat="1" ht="126.75" customHeight="1">
      <c r="A43" s="386"/>
      <c r="B43" s="508"/>
      <c r="C43" s="444"/>
      <c r="D43" s="444"/>
      <c r="E43" s="444"/>
      <c r="F43" s="444"/>
      <c r="G43" s="444"/>
      <c r="H43" s="511"/>
      <c r="I43" s="511"/>
      <c r="J43" s="511"/>
      <c r="K43" s="511"/>
      <c r="L43" s="522"/>
      <c r="M43" s="522"/>
      <c r="N43" s="444"/>
      <c r="O43" s="444"/>
      <c r="P43" s="360"/>
      <c r="Q43" s="390"/>
      <c r="R43" s="390"/>
      <c r="S43" s="390"/>
      <c r="T43" s="358" t="s">
        <v>328</v>
      </c>
      <c r="U43" s="358">
        <f>8*4</f>
        <v>32</v>
      </c>
      <c r="V43" s="360" t="s">
        <v>329</v>
      </c>
      <c r="W43" s="360">
        <v>890000</v>
      </c>
      <c r="X43" s="360">
        <f aca="true" t="shared" si="25" ref="X43:X50">U43*W43*Y43</f>
        <v>22784000</v>
      </c>
      <c r="Y43" s="494">
        <v>0.8</v>
      </c>
      <c r="Z43" s="360"/>
      <c r="AA43" s="360"/>
      <c r="AB43" s="360"/>
      <c r="AC43" s="361"/>
      <c r="AD43" s="360">
        <f aca="true" t="shared" si="26" ref="AD43:AD48">X43</f>
        <v>22784000</v>
      </c>
      <c r="AE43" s="360">
        <f aca="true" t="shared" si="27" ref="AE43:AE64">AD43</f>
        <v>22784000</v>
      </c>
      <c r="AF43" s="444"/>
      <c r="AG43" s="512"/>
      <c r="AH43" s="512"/>
      <c r="AI43" s="512"/>
      <c r="AJ43" s="512"/>
      <c r="AK43" s="512"/>
      <c r="AL43" s="512">
        <v>32</v>
      </c>
      <c r="AM43" s="512"/>
      <c r="AN43" s="512"/>
      <c r="AO43" s="512"/>
      <c r="AP43" s="512"/>
      <c r="AQ43" s="512"/>
      <c r="AR43" s="512"/>
    </row>
    <row r="44" spans="1:44" s="388" customFormat="1" ht="126.75" customHeight="1">
      <c r="A44" s="386"/>
      <c r="B44" s="508"/>
      <c r="C44" s="444"/>
      <c r="D44" s="444"/>
      <c r="E44" s="444"/>
      <c r="F44" s="444"/>
      <c r="G44" s="444"/>
      <c r="H44" s="511"/>
      <c r="I44" s="511"/>
      <c r="J44" s="511"/>
      <c r="K44" s="511"/>
      <c r="L44" s="522"/>
      <c r="M44" s="522"/>
      <c r="N44" s="444"/>
      <c r="O44" s="444"/>
      <c r="P44" s="360"/>
      <c r="Q44" s="390"/>
      <c r="R44" s="390"/>
      <c r="S44" s="390"/>
      <c r="T44" s="358" t="s">
        <v>330</v>
      </c>
      <c r="U44" s="358">
        <f>1.1*3.5*5.8</f>
        <v>22.330000000000002</v>
      </c>
      <c r="V44" s="360" t="s">
        <v>331</v>
      </c>
      <c r="W44" s="360">
        <v>1460000</v>
      </c>
      <c r="X44" s="360">
        <f t="shared" si="25"/>
        <v>26081440.000000004</v>
      </c>
      <c r="Y44" s="494">
        <v>0.8</v>
      </c>
      <c r="Z44" s="360"/>
      <c r="AA44" s="360"/>
      <c r="AB44" s="360"/>
      <c r="AC44" s="361"/>
      <c r="AD44" s="360">
        <f t="shared" si="26"/>
        <v>26081440.000000004</v>
      </c>
      <c r="AE44" s="360">
        <f t="shared" si="27"/>
        <v>26081440.000000004</v>
      </c>
      <c r="AF44" s="444"/>
      <c r="AG44" s="512"/>
      <c r="AH44" s="512"/>
      <c r="AI44" s="512"/>
      <c r="AJ44" s="512"/>
      <c r="AK44" s="512"/>
      <c r="AL44" s="512"/>
      <c r="AM44" s="512"/>
      <c r="AN44" s="512"/>
      <c r="AO44" s="512"/>
      <c r="AP44" s="512"/>
      <c r="AQ44" s="512"/>
      <c r="AR44" s="512"/>
    </row>
    <row r="45" spans="1:44" s="388" customFormat="1" ht="126.75" customHeight="1">
      <c r="A45" s="386"/>
      <c r="B45" s="508"/>
      <c r="C45" s="444"/>
      <c r="D45" s="444"/>
      <c r="E45" s="444"/>
      <c r="F45" s="444"/>
      <c r="G45" s="444"/>
      <c r="H45" s="511"/>
      <c r="I45" s="511"/>
      <c r="J45" s="511"/>
      <c r="K45" s="511"/>
      <c r="L45" s="522"/>
      <c r="M45" s="522"/>
      <c r="N45" s="444"/>
      <c r="O45" s="444"/>
      <c r="P45" s="360"/>
      <c r="Q45" s="390"/>
      <c r="R45" s="390"/>
      <c r="S45" s="390"/>
      <c r="T45" s="529" t="s">
        <v>324</v>
      </c>
      <c r="U45" s="528">
        <v>12</v>
      </c>
      <c r="V45" s="358" t="s">
        <v>276</v>
      </c>
      <c r="W45" s="360">
        <v>430000</v>
      </c>
      <c r="X45" s="360">
        <f t="shared" si="25"/>
        <v>4128000</v>
      </c>
      <c r="Y45" s="494">
        <v>0.8</v>
      </c>
      <c r="Z45" s="360"/>
      <c r="AA45" s="360"/>
      <c r="AB45" s="360"/>
      <c r="AC45" s="361"/>
      <c r="AD45" s="360">
        <f t="shared" si="26"/>
        <v>4128000</v>
      </c>
      <c r="AE45" s="360">
        <f t="shared" si="27"/>
        <v>4128000</v>
      </c>
      <c r="AF45" s="444"/>
      <c r="AG45" s="512"/>
      <c r="AH45" s="512"/>
      <c r="AI45" s="512"/>
      <c r="AJ45" s="512"/>
      <c r="AK45" s="512"/>
      <c r="AL45" s="512">
        <f>12*0.1</f>
        <v>1.2000000000000002</v>
      </c>
      <c r="AM45" s="512"/>
      <c r="AN45" s="512"/>
      <c r="AO45" s="512"/>
      <c r="AP45" s="512"/>
      <c r="AQ45" s="512"/>
      <c r="AR45" s="512"/>
    </row>
    <row r="46" spans="1:44" s="388" customFormat="1" ht="126.75" customHeight="1">
      <c r="A46" s="386"/>
      <c r="B46" s="508"/>
      <c r="C46" s="444"/>
      <c r="D46" s="444"/>
      <c r="E46" s="444"/>
      <c r="F46" s="444"/>
      <c r="G46" s="444"/>
      <c r="H46" s="511"/>
      <c r="I46" s="511"/>
      <c r="J46" s="511"/>
      <c r="K46" s="511"/>
      <c r="L46" s="522"/>
      <c r="M46" s="522"/>
      <c r="N46" s="444"/>
      <c r="O46" s="444"/>
      <c r="P46" s="360"/>
      <c r="Q46" s="390"/>
      <c r="R46" s="390"/>
      <c r="S46" s="390"/>
      <c r="T46" s="529" t="s">
        <v>332</v>
      </c>
      <c r="U46" s="358">
        <v>36</v>
      </c>
      <c r="V46" s="358" t="s">
        <v>276</v>
      </c>
      <c r="W46" s="360">
        <v>580000</v>
      </c>
      <c r="X46" s="360">
        <f t="shared" si="25"/>
        <v>16704000</v>
      </c>
      <c r="Y46" s="494">
        <v>0.8</v>
      </c>
      <c r="Z46" s="360"/>
      <c r="AA46" s="360"/>
      <c r="AB46" s="360"/>
      <c r="AC46" s="361"/>
      <c r="AD46" s="360">
        <f t="shared" si="26"/>
        <v>16704000</v>
      </c>
      <c r="AE46" s="360">
        <f t="shared" si="27"/>
        <v>16704000</v>
      </c>
      <c r="AF46" s="444"/>
      <c r="AG46" s="512"/>
      <c r="AH46" s="512"/>
      <c r="AI46" s="512"/>
      <c r="AJ46" s="512"/>
      <c r="AK46" s="512"/>
      <c r="AL46" s="512">
        <f>36*0.2</f>
        <v>7.2</v>
      </c>
      <c r="AM46" s="512"/>
      <c r="AN46" s="512"/>
      <c r="AO46" s="512"/>
      <c r="AP46" s="512"/>
      <c r="AQ46" s="512"/>
      <c r="AR46" s="512"/>
    </row>
    <row r="47" spans="1:44" s="388" customFormat="1" ht="126.75" customHeight="1">
      <c r="A47" s="386"/>
      <c r="B47" s="508"/>
      <c r="C47" s="444"/>
      <c r="D47" s="444"/>
      <c r="E47" s="444"/>
      <c r="F47" s="444"/>
      <c r="G47" s="444"/>
      <c r="H47" s="511"/>
      <c r="I47" s="511"/>
      <c r="J47" s="511"/>
      <c r="K47" s="511"/>
      <c r="L47" s="522"/>
      <c r="M47" s="522"/>
      <c r="N47" s="444"/>
      <c r="O47" s="444"/>
      <c r="P47" s="360"/>
      <c r="Q47" s="390"/>
      <c r="R47" s="390"/>
      <c r="S47" s="390"/>
      <c r="T47" s="529" t="s">
        <v>333</v>
      </c>
      <c r="U47" s="358">
        <v>50</v>
      </c>
      <c r="V47" s="509" t="s">
        <v>268</v>
      </c>
      <c r="W47" s="360">
        <v>163000</v>
      </c>
      <c r="X47" s="360">
        <f t="shared" si="25"/>
        <v>6520000</v>
      </c>
      <c r="Y47" s="494">
        <f>Y46</f>
        <v>0.8</v>
      </c>
      <c r="Z47" s="360"/>
      <c r="AA47" s="360"/>
      <c r="AB47" s="360"/>
      <c r="AC47" s="361"/>
      <c r="AD47" s="360">
        <f t="shared" si="26"/>
        <v>6520000</v>
      </c>
      <c r="AE47" s="360">
        <f t="shared" si="27"/>
        <v>6520000</v>
      </c>
      <c r="AF47" s="444"/>
      <c r="AG47" s="512"/>
      <c r="AH47" s="512"/>
      <c r="AI47" s="512"/>
      <c r="AJ47" s="512"/>
      <c r="AK47" s="512"/>
      <c r="AL47" s="512">
        <v>250</v>
      </c>
      <c r="AM47" s="512"/>
      <c r="AN47" s="512"/>
      <c r="AO47" s="512"/>
      <c r="AP47" s="512"/>
      <c r="AQ47" s="512"/>
      <c r="AR47" s="512"/>
    </row>
    <row r="48" spans="1:44" s="388" customFormat="1" ht="126.75" customHeight="1">
      <c r="A48" s="386"/>
      <c r="B48" s="508"/>
      <c r="C48" s="444"/>
      <c r="D48" s="444"/>
      <c r="E48" s="444"/>
      <c r="F48" s="444"/>
      <c r="G48" s="444"/>
      <c r="H48" s="511"/>
      <c r="I48" s="511"/>
      <c r="J48" s="511"/>
      <c r="K48" s="511"/>
      <c r="L48" s="522"/>
      <c r="M48" s="522"/>
      <c r="N48" s="444"/>
      <c r="O48" s="444"/>
      <c r="P48" s="360"/>
      <c r="Q48" s="390"/>
      <c r="R48" s="390"/>
      <c r="S48" s="390"/>
      <c r="T48" s="529" t="s">
        <v>334</v>
      </c>
      <c r="U48" s="358">
        <f>3*4.2</f>
        <v>12.600000000000001</v>
      </c>
      <c r="V48" s="358" t="s">
        <v>276</v>
      </c>
      <c r="W48" s="360">
        <v>1060000</v>
      </c>
      <c r="X48" s="360">
        <f t="shared" si="25"/>
        <v>10684800.000000002</v>
      </c>
      <c r="Y48" s="494">
        <f>Y47</f>
        <v>0.8</v>
      </c>
      <c r="Z48" s="360"/>
      <c r="AA48" s="360"/>
      <c r="AB48" s="360"/>
      <c r="AC48" s="361"/>
      <c r="AD48" s="360">
        <f t="shared" si="26"/>
        <v>10684800.000000002</v>
      </c>
      <c r="AE48" s="360">
        <f t="shared" si="27"/>
        <v>10684800.000000002</v>
      </c>
      <c r="AF48" s="444"/>
      <c r="AG48" s="512"/>
      <c r="AH48" s="512"/>
      <c r="AI48" s="512"/>
      <c r="AJ48" s="512"/>
      <c r="AK48" s="512"/>
      <c r="AL48" s="512">
        <v>10</v>
      </c>
      <c r="AM48" s="512"/>
      <c r="AN48" s="512"/>
      <c r="AO48" s="512"/>
      <c r="AP48" s="512"/>
      <c r="AQ48" s="512"/>
      <c r="AR48" s="512"/>
    </row>
    <row r="49" spans="1:44" s="388" customFormat="1" ht="126.75" customHeight="1">
      <c r="A49" s="386">
        <v>5</v>
      </c>
      <c r="B49" s="508" t="s">
        <v>320</v>
      </c>
      <c r="C49" s="444">
        <v>87</v>
      </c>
      <c r="D49" s="444">
        <v>81</v>
      </c>
      <c r="E49" s="444">
        <v>114.2</v>
      </c>
      <c r="F49" s="444" t="s">
        <v>45</v>
      </c>
      <c r="G49" s="444" t="s">
        <v>37</v>
      </c>
      <c r="H49" s="513"/>
      <c r="I49" s="511">
        <v>1.1</v>
      </c>
      <c r="J49" s="511"/>
      <c r="K49" s="511"/>
      <c r="L49" s="444"/>
      <c r="M49" s="444"/>
      <c r="N49" s="444">
        <f>SUM(H49:M49)</f>
        <v>1.1</v>
      </c>
      <c r="O49" s="444">
        <f>N49</f>
        <v>1.1</v>
      </c>
      <c r="P49" s="360">
        <v>60000</v>
      </c>
      <c r="Q49" s="390">
        <f>N49*P49</f>
        <v>66000</v>
      </c>
      <c r="R49" s="390"/>
      <c r="S49" s="390"/>
      <c r="T49" s="358" t="s">
        <v>313</v>
      </c>
      <c r="U49" s="358">
        <f>N49</f>
        <v>1.1</v>
      </c>
      <c r="V49" s="358" t="s">
        <v>276</v>
      </c>
      <c r="W49" s="360">
        <v>9500</v>
      </c>
      <c r="X49" s="360">
        <f t="shared" si="25"/>
        <v>10450</v>
      </c>
      <c r="Y49" s="494">
        <v>1</v>
      </c>
      <c r="Z49" s="360">
        <f>N49*10000</f>
        <v>11000</v>
      </c>
      <c r="AA49" s="360">
        <f>N49*P49*3</f>
        <v>198000</v>
      </c>
      <c r="AB49" s="360">
        <f>INT(O49/176.4)</f>
        <v>0</v>
      </c>
      <c r="AC49" s="361">
        <f>AB49*3500000</f>
        <v>0</v>
      </c>
      <c r="AD49" s="360">
        <f aca="true" t="shared" si="28" ref="AD49:AD64">Q49+X49+Z49+AA49+AC49</f>
        <v>285450</v>
      </c>
      <c r="AE49" s="360">
        <f t="shared" si="27"/>
        <v>285450</v>
      </c>
      <c r="AF49" s="444"/>
      <c r="AG49" s="512"/>
      <c r="AH49" s="512"/>
      <c r="AI49" s="512"/>
      <c r="AJ49" s="512"/>
      <c r="AK49" s="512"/>
      <c r="AL49" s="512"/>
      <c r="AM49" s="512"/>
      <c r="AN49" s="512"/>
      <c r="AO49" s="512"/>
      <c r="AP49" s="512"/>
      <c r="AQ49" s="512"/>
      <c r="AR49" s="512"/>
    </row>
    <row r="50" spans="1:44" s="388" customFormat="1" ht="126.75" customHeight="1">
      <c r="A50" s="386">
        <v>6</v>
      </c>
      <c r="B50" s="508" t="s">
        <v>230</v>
      </c>
      <c r="C50" s="444">
        <v>91</v>
      </c>
      <c r="D50" s="444">
        <v>81</v>
      </c>
      <c r="E50" s="444">
        <v>752.6</v>
      </c>
      <c r="F50" s="444" t="s">
        <v>0</v>
      </c>
      <c r="G50" s="444" t="s">
        <v>37</v>
      </c>
      <c r="H50" s="513"/>
      <c r="I50" s="518">
        <v>699.5</v>
      </c>
      <c r="J50" s="518"/>
      <c r="K50" s="518"/>
      <c r="L50" s="444"/>
      <c r="M50" s="444"/>
      <c r="N50" s="444">
        <f>SUM(H50:M50)</f>
        <v>699.5</v>
      </c>
      <c r="O50" s="524">
        <f>N50+N51+N56+N63</f>
        <v>1226.2</v>
      </c>
      <c r="P50" s="360">
        <v>60000</v>
      </c>
      <c r="Q50" s="390">
        <f>N50*P50</f>
        <v>41970000</v>
      </c>
      <c r="R50" s="390"/>
      <c r="S50" s="390"/>
      <c r="T50" s="358" t="s">
        <v>313</v>
      </c>
      <c r="U50" s="358">
        <f>N50</f>
        <v>699.5</v>
      </c>
      <c r="V50" s="358" t="s">
        <v>276</v>
      </c>
      <c r="W50" s="360">
        <v>9500</v>
      </c>
      <c r="X50" s="360">
        <f t="shared" si="25"/>
        <v>6645250</v>
      </c>
      <c r="Y50" s="494">
        <v>1</v>
      </c>
      <c r="Z50" s="360">
        <f>N50*10000</f>
        <v>6995000</v>
      </c>
      <c r="AA50" s="360">
        <f>N50*P50*3</f>
        <v>125910000</v>
      </c>
      <c r="AB50" s="360">
        <f>INT(O50/176.4)</f>
        <v>6</v>
      </c>
      <c r="AC50" s="361">
        <f>AB50*3500000</f>
        <v>21000000</v>
      </c>
      <c r="AD50" s="360">
        <f t="shared" si="28"/>
        <v>202520250</v>
      </c>
      <c r="AE50" s="360">
        <f t="shared" si="27"/>
        <v>202520250</v>
      </c>
      <c r="AF50" s="444"/>
      <c r="AG50" s="512"/>
      <c r="AH50" s="512"/>
      <c r="AI50" s="512"/>
      <c r="AJ50" s="512"/>
      <c r="AK50" s="512"/>
      <c r="AL50" s="512"/>
      <c r="AM50" s="512"/>
      <c r="AN50" s="512"/>
      <c r="AO50" s="512"/>
      <c r="AP50" s="512"/>
      <c r="AQ50" s="512"/>
      <c r="AR50" s="512"/>
    </row>
    <row r="51" spans="1:44" s="388" customFormat="1" ht="126.75" customHeight="1">
      <c r="A51" s="386">
        <v>6</v>
      </c>
      <c r="B51" s="508" t="s">
        <v>230</v>
      </c>
      <c r="C51" s="444">
        <v>55</v>
      </c>
      <c r="D51" s="444">
        <v>81</v>
      </c>
      <c r="E51" s="444">
        <v>252.3</v>
      </c>
      <c r="F51" s="444" t="s">
        <v>45</v>
      </c>
      <c r="G51" s="444" t="s">
        <v>37</v>
      </c>
      <c r="H51" s="513"/>
      <c r="I51" s="518">
        <v>252.3</v>
      </c>
      <c r="J51" s="518"/>
      <c r="K51" s="518"/>
      <c r="L51" s="444"/>
      <c r="M51" s="444"/>
      <c r="N51" s="444">
        <f>SUM(H51:M51)</f>
        <v>252.3</v>
      </c>
      <c r="O51" s="533"/>
      <c r="P51" s="360">
        <v>60000</v>
      </c>
      <c r="Q51" s="390">
        <f>N51*P51</f>
        <v>15138000</v>
      </c>
      <c r="R51" s="390"/>
      <c r="S51" s="390"/>
      <c r="T51" s="358"/>
      <c r="U51" s="358"/>
      <c r="V51" s="358"/>
      <c r="W51" s="358"/>
      <c r="X51" s="358"/>
      <c r="Y51" s="358"/>
      <c r="Z51" s="360">
        <f>N51*10000</f>
        <v>2523000</v>
      </c>
      <c r="AA51" s="360">
        <f>N51*P51*3</f>
        <v>45414000</v>
      </c>
      <c r="AB51" s="360">
        <f aca="true" t="shared" si="29" ref="AB51:AB64">INT(O51/176.4)</f>
        <v>0</v>
      </c>
      <c r="AC51" s="361">
        <f>AB51*3500000</f>
        <v>0</v>
      </c>
      <c r="AD51" s="360">
        <f t="shared" si="28"/>
        <v>63075000</v>
      </c>
      <c r="AE51" s="360">
        <f t="shared" si="27"/>
        <v>63075000</v>
      </c>
      <c r="AF51" s="444"/>
      <c r="AG51" s="444"/>
      <c r="AH51" s="444"/>
      <c r="AI51" s="444"/>
      <c r="AJ51" s="444"/>
      <c r="AK51" s="444"/>
      <c r="AL51" s="444"/>
      <c r="AM51" s="512"/>
      <c r="AN51" s="512"/>
      <c r="AO51" s="512"/>
      <c r="AP51" s="512"/>
      <c r="AQ51" s="512"/>
      <c r="AR51" s="512"/>
    </row>
    <row r="52" spans="1:44" s="388" customFormat="1" ht="126.75" customHeight="1">
      <c r="A52" s="386">
        <v>6</v>
      </c>
      <c r="B52" s="508" t="s">
        <v>230</v>
      </c>
      <c r="C52" s="444">
        <v>55</v>
      </c>
      <c r="D52" s="444">
        <v>81</v>
      </c>
      <c r="E52" s="444">
        <v>252.3</v>
      </c>
      <c r="F52" s="444" t="s">
        <v>45</v>
      </c>
      <c r="G52" s="444" t="s">
        <v>37</v>
      </c>
      <c r="H52" s="513"/>
      <c r="I52" s="518"/>
      <c r="J52" s="518"/>
      <c r="K52" s="518"/>
      <c r="L52" s="444"/>
      <c r="M52" s="444"/>
      <c r="N52" s="444"/>
      <c r="O52" s="533"/>
      <c r="P52" s="360"/>
      <c r="Q52" s="390"/>
      <c r="R52" s="390"/>
      <c r="S52" s="390"/>
      <c r="T52" s="358" t="s">
        <v>335</v>
      </c>
      <c r="U52" s="358">
        <v>14</v>
      </c>
      <c r="V52" s="509" t="s">
        <v>268</v>
      </c>
      <c r="W52" s="360">
        <v>1091000</v>
      </c>
      <c r="X52" s="360">
        <f>U52*W52*Y48</f>
        <v>12219200</v>
      </c>
      <c r="Y52" s="494">
        <v>0.8</v>
      </c>
      <c r="Z52" s="360"/>
      <c r="AA52" s="360"/>
      <c r="AB52" s="360">
        <f t="shared" si="29"/>
        <v>0</v>
      </c>
      <c r="AC52" s="361"/>
      <c r="AD52" s="360">
        <f t="shared" si="28"/>
        <v>12219200</v>
      </c>
      <c r="AE52" s="360">
        <f t="shared" si="27"/>
        <v>12219200</v>
      </c>
      <c r="AF52" s="444"/>
      <c r="AG52" s="512"/>
      <c r="AH52" s="512"/>
      <c r="AI52" s="512"/>
      <c r="AJ52" s="512"/>
      <c r="AK52" s="512"/>
      <c r="AL52" s="512">
        <v>168</v>
      </c>
      <c r="AM52" s="512"/>
      <c r="AN52" s="512"/>
      <c r="AO52" s="512"/>
      <c r="AP52" s="512"/>
      <c r="AQ52" s="512"/>
      <c r="AR52" s="512"/>
    </row>
    <row r="53" spans="1:44" s="388" customFormat="1" ht="126.75" customHeight="1">
      <c r="A53" s="386">
        <v>6</v>
      </c>
      <c r="B53" s="508" t="s">
        <v>230</v>
      </c>
      <c r="C53" s="444">
        <v>55</v>
      </c>
      <c r="D53" s="444">
        <v>81</v>
      </c>
      <c r="E53" s="444">
        <v>252.3</v>
      </c>
      <c r="F53" s="444" t="s">
        <v>45</v>
      </c>
      <c r="G53" s="444" t="s">
        <v>37</v>
      </c>
      <c r="H53" s="513"/>
      <c r="I53" s="518"/>
      <c r="J53" s="518"/>
      <c r="K53" s="518"/>
      <c r="L53" s="444"/>
      <c r="M53" s="444"/>
      <c r="N53" s="444"/>
      <c r="O53" s="533"/>
      <c r="P53" s="360"/>
      <c r="Q53" s="390"/>
      <c r="R53" s="390"/>
      <c r="S53" s="390"/>
      <c r="T53" s="358" t="s">
        <v>336</v>
      </c>
      <c r="U53" s="358">
        <v>2</v>
      </c>
      <c r="V53" s="358" t="s">
        <v>276</v>
      </c>
      <c r="W53" s="360">
        <v>43000</v>
      </c>
      <c r="X53" s="360">
        <f>U53*W53*Y53</f>
        <v>86000</v>
      </c>
      <c r="Y53" s="494">
        <v>1</v>
      </c>
      <c r="Z53" s="360"/>
      <c r="AA53" s="360"/>
      <c r="AB53" s="360">
        <f t="shared" si="29"/>
        <v>0</v>
      </c>
      <c r="AC53" s="361"/>
      <c r="AD53" s="360">
        <f t="shared" si="28"/>
        <v>86000</v>
      </c>
      <c r="AE53" s="360">
        <f t="shared" si="27"/>
        <v>86000</v>
      </c>
      <c r="AF53" s="444"/>
      <c r="AG53" s="512"/>
      <c r="AH53" s="512"/>
      <c r="AI53" s="512"/>
      <c r="AJ53" s="512"/>
      <c r="AK53" s="512"/>
      <c r="AL53" s="512">
        <v>8</v>
      </c>
      <c r="AM53" s="512"/>
      <c r="AN53" s="512"/>
      <c r="AO53" s="512"/>
      <c r="AP53" s="512"/>
      <c r="AQ53" s="512"/>
      <c r="AR53" s="512"/>
    </row>
    <row r="54" spans="1:44" s="388" customFormat="1" ht="126.75" customHeight="1">
      <c r="A54" s="386">
        <v>6</v>
      </c>
      <c r="B54" s="508" t="s">
        <v>230</v>
      </c>
      <c r="C54" s="444">
        <v>55</v>
      </c>
      <c r="D54" s="444">
        <v>81</v>
      </c>
      <c r="E54" s="444">
        <v>252.3</v>
      </c>
      <c r="F54" s="444" t="s">
        <v>45</v>
      </c>
      <c r="G54" s="444" t="s">
        <v>37</v>
      </c>
      <c r="H54" s="513"/>
      <c r="I54" s="518"/>
      <c r="J54" s="518"/>
      <c r="K54" s="518"/>
      <c r="L54" s="444"/>
      <c r="M54" s="444"/>
      <c r="N54" s="444"/>
      <c r="O54" s="533"/>
      <c r="P54" s="360"/>
      <c r="Q54" s="390"/>
      <c r="R54" s="390"/>
      <c r="S54" s="390"/>
      <c r="T54" s="509" t="s">
        <v>306</v>
      </c>
      <c r="U54" s="358">
        <v>8</v>
      </c>
      <c r="V54" s="509" t="s">
        <v>307</v>
      </c>
      <c r="W54" s="514">
        <v>87000</v>
      </c>
      <c r="X54" s="360">
        <f>U54*W54*Y54</f>
        <v>556800</v>
      </c>
      <c r="Y54" s="494">
        <v>0.8</v>
      </c>
      <c r="Z54" s="360"/>
      <c r="AA54" s="360"/>
      <c r="AB54" s="360">
        <f t="shared" si="29"/>
        <v>0</v>
      </c>
      <c r="AC54" s="361"/>
      <c r="AD54" s="360">
        <f t="shared" si="28"/>
        <v>556800</v>
      </c>
      <c r="AE54" s="360">
        <f t="shared" si="27"/>
        <v>556800</v>
      </c>
      <c r="AF54" s="444"/>
      <c r="AG54" s="512"/>
      <c r="AH54" s="512"/>
      <c r="AI54" s="512"/>
      <c r="AJ54" s="512"/>
      <c r="AK54" s="512"/>
      <c r="AL54" s="512" t="s">
        <v>337</v>
      </c>
      <c r="AM54" s="512"/>
      <c r="AN54" s="512"/>
      <c r="AO54" s="512"/>
      <c r="AP54" s="512"/>
      <c r="AQ54" s="512"/>
      <c r="AR54" s="512"/>
    </row>
    <row r="55" spans="1:44" s="388" customFormat="1" ht="126.75" customHeight="1">
      <c r="A55" s="386">
        <v>6</v>
      </c>
      <c r="B55" s="508" t="s">
        <v>230</v>
      </c>
      <c r="C55" s="444">
        <v>55</v>
      </c>
      <c r="D55" s="444">
        <v>81</v>
      </c>
      <c r="E55" s="444">
        <v>252.3</v>
      </c>
      <c r="F55" s="444" t="s">
        <v>45</v>
      </c>
      <c r="G55" s="444" t="s">
        <v>37</v>
      </c>
      <c r="H55" s="513"/>
      <c r="I55" s="518"/>
      <c r="J55" s="518"/>
      <c r="K55" s="518"/>
      <c r="L55" s="444"/>
      <c r="M55" s="444"/>
      <c r="N55" s="444"/>
      <c r="O55" s="533"/>
      <c r="P55" s="360"/>
      <c r="Q55" s="390"/>
      <c r="R55" s="390"/>
      <c r="S55" s="390"/>
      <c r="T55" s="509" t="s">
        <v>313</v>
      </c>
      <c r="U55" s="358">
        <v>25</v>
      </c>
      <c r="V55" s="358" t="s">
        <v>276</v>
      </c>
      <c r="W55" s="360">
        <v>9500</v>
      </c>
      <c r="X55" s="360">
        <f>U55*W55*Y55</f>
        <v>237500</v>
      </c>
      <c r="Y55" s="494">
        <v>1</v>
      </c>
      <c r="Z55" s="360"/>
      <c r="AA55" s="360"/>
      <c r="AB55" s="360">
        <f t="shared" si="29"/>
        <v>0</v>
      </c>
      <c r="AC55" s="361"/>
      <c r="AD55" s="360">
        <f t="shared" si="28"/>
        <v>237500</v>
      </c>
      <c r="AE55" s="360">
        <f t="shared" si="27"/>
        <v>237500</v>
      </c>
      <c r="AF55" s="444"/>
      <c r="AG55" s="512"/>
      <c r="AH55" s="512"/>
      <c r="AI55" s="512"/>
      <c r="AJ55" s="512"/>
      <c r="AK55" s="512"/>
      <c r="AL55" s="512">
        <v>25</v>
      </c>
      <c r="AM55" s="512"/>
      <c r="AN55" s="512"/>
      <c r="AO55" s="512"/>
      <c r="AP55" s="512"/>
      <c r="AQ55" s="512"/>
      <c r="AR55" s="512"/>
    </row>
    <row r="56" spans="1:44" s="388" customFormat="1" ht="126.75" customHeight="1">
      <c r="A56" s="386">
        <v>6</v>
      </c>
      <c r="B56" s="508" t="s">
        <v>230</v>
      </c>
      <c r="C56" s="444">
        <v>75</v>
      </c>
      <c r="D56" s="444">
        <v>81</v>
      </c>
      <c r="E56" s="444">
        <v>183.4</v>
      </c>
      <c r="F56" s="444" t="s">
        <v>45</v>
      </c>
      <c r="G56" s="444" t="s">
        <v>37</v>
      </c>
      <c r="H56" s="513"/>
      <c r="I56" s="518">
        <v>183.4</v>
      </c>
      <c r="J56" s="518"/>
      <c r="K56" s="518"/>
      <c r="L56" s="444"/>
      <c r="M56" s="444"/>
      <c r="N56" s="444">
        <f>SUM(H56:M56)</f>
        <v>183.4</v>
      </c>
      <c r="O56" s="533"/>
      <c r="P56" s="360">
        <v>60000</v>
      </c>
      <c r="Q56" s="390">
        <f>N56*P56</f>
        <v>11004000</v>
      </c>
      <c r="R56" s="390"/>
      <c r="S56" s="390"/>
      <c r="T56" s="358"/>
      <c r="U56" s="358"/>
      <c r="V56" s="358"/>
      <c r="W56" s="360"/>
      <c r="X56" s="360"/>
      <c r="Y56" s="494"/>
      <c r="Z56" s="360">
        <f>N56*10000</f>
        <v>1834000</v>
      </c>
      <c r="AA56" s="360">
        <f>N56*P56*3</f>
        <v>33012000</v>
      </c>
      <c r="AB56" s="360">
        <f t="shared" si="29"/>
        <v>0</v>
      </c>
      <c r="AC56" s="361">
        <f>AB56*3500000</f>
        <v>0</v>
      </c>
      <c r="AD56" s="360">
        <f t="shared" si="28"/>
        <v>45850000</v>
      </c>
      <c r="AE56" s="360">
        <f t="shared" si="27"/>
        <v>45850000</v>
      </c>
      <c r="AF56" s="444"/>
      <c r="AG56" s="512"/>
      <c r="AH56" s="512"/>
      <c r="AI56" s="512"/>
      <c r="AJ56" s="512"/>
      <c r="AK56" s="512"/>
      <c r="AL56" s="512"/>
      <c r="AM56" s="512"/>
      <c r="AN56" s="512"/>
      <c r="AO56" s="512"/>
      <c r="AP56" s="512"/>
      <c r="AQ56" s="512"/>
      <c r="AR56" s="512"/>
    </row>
    <row r="57" spans="1:44" s="388" customFormat="1" ht="126.75" customHeight="1">
      <c r="A57" s="386"/>
      <c r="B57" s="508"/>
      <c r="C57" s="444"/>
      <c r="D57" s="444"/>
      <c r="E57" s="444"/>
      <c r="F57" s="444"/>
      <c r="G57" s="444"/>
      <c r="H57" s="513"/>
      <c r="I57" s="518"/>
      <c r="J57" s="518"/>
      <c r="K57" s="518"/>
      <c r="L57" s="444"/>
      <c r="M57" s="444"/>
      <c r="N57" s="444"/>
      <c r="O57" s="533"/>
      <c r="P57" s="360"/>
      <c r="Q57" s="390"/>
      <c r="R57" s="390"/>
      <c r="S57" s="390"/>
      <c r="T57" s="358" t="s">
        <v>328</v>
      </c>
      <c r="U57" s="358">
        <f>3.2*9</f>
        <v>28.8</v>
      </c>
      <c r="V57" s="360" t="s">
        <v>329</v>
      </c>
      <c r="W57" s="360">
        <v>890000</v>
      </c>
      <c r="X57" s="360">
        <f>U57*W57*Y57</f>
        <v>20505600</v>
      </c>
      <c r="Y57" s="494">
        <v>0.8</v>
      </c>
      <c r="Z57" s="360"/>
      <c r="AA57" s="360"/>
      <c r="AB57" s="360">
        <f t="shared" si="29"/>
        <v>0</v>
      </c>
      <c r="AC57" s="361"/>
      <c r="AD57" s="360">
        <f t="shared" si="28"/>
        <v>20505600</v>
      </c>
      <c r="AE57" s="360">
        <f t="shared" si="27"/>
        <v>20505600</v>
      </c>
      <c r="AF57" s="444"/>
      <c r="AG57" s="512"/>
      <c r="AH57" s="512"/>
      <c r="AI57" s="512"/>
      <c r="AJ57" s="512"/>
      <c r="AK57" s="512"/>
      <c r="AL57" s="512" t="s">
        <v>338</v>
      </c>
      <c r="AM57" s="512"/>
      <c r="AN57" s="512"/>
      <c r="AO57" s="512"/>
      <c r="AP57" s="512"/>
      <c r="AQ57" s="512"/>
      <c r="AR57" s="512"/>
    </row>
    <row r="58" spans="1:44" s="388" customFormat="1" ht="126.75" customHeight="1">
      <c r="A58" s="386"/>
      <c r="B58" s="508"/>
      <c r="C58" s="444"/>
      <c r="D58" s="444"/>
      <c r="E58" s="444"/>
      <c r="F58" s="444"/>
      <c r="G58" s="444"/>
      <c r="H58" s="513"/>
      <c r="I58" s="518"/>
      <c r="J58" s="518"/>
      <c r="K58" s="518"/>
      <c r="L58" s="444"/>
      <c r="M58" s="444"/>
      <c r="N58" s="444"/>
      <c r="O58" s="533"/>
      <c r="P58" s="360"/>
      <c r="Q58" s="390"/>
      <c r="R58" s="390"/>
      <c r="S58" s="390"/>
      <c r="T58" s="509" t="s">
        <v>306</v>
      </c>
      <c r="U58" s="358">
        <v>15</v>
      </c>
      <c r="V58" s="509" t="s">
        <v>307</v>
      </c>
      <c r="W58" s="514">
        <v>87000</v>
      </c>
      <c r="X58" s="360">
        <f>U58*W58*Y58</f>
        <v>1044000</v>
      </c>
      <c r="Y58" s="494">
        <v>0.8</v>
      </c>
      <c r="Z58" s="360"/>
      <c r="AA58" s="360"/>
      <c r="AB58" s="360">
        <f t="shared" si="29"/>
        <v>0</v>
      </c>
      <c r="AC58" s="361"/>
      <c r="AD58" s="360">
        <f t="shared" si="28"/>
        <v>1044000</v>
      </c>
      <c r="AE58" s="360">
        <f t="shared" si="27"/>
        <v>1044000</v>
      </c>
      <c r="AF58" s="444"/>
      <c r="AG58" s="512"/>
      <c r="AH58" s="512"/>
      <c r="AI58" s="512"/>
      <c r="AJ58" s="512"/>
      <c r="AK58" s="512"/>
      <c r="AL58" s="512">
        <v>96</v>
      </c>
      <c r="AM58" s="512"/>
      <c r="AN58" s="512"/>
      <c r="AO58" s="512"/>
      <c r="AP58" s="512"/>
      <c r="AQ58" s="512"/>
      <c r="AR58" s="512"/>
    </row>
    <row r="59" spans="1:44" s="388" customFormat="1" ht="126.75" customHeight="1">
      <c r="A59" s="386"/>
      <c r="B59" s="508"/>
      <c r="C59" s="444"/>
      <c r="D59" s="444"/>
      <c r="E59" s="444"/>
      <c r="F59" s="444"/>
      <c r="G59" s="444"/>
      <c r="H59" s="513"/>
      <c r="I59" s="518"/>
      <c r="J59" s="518"/>
      <c r="K59" s="518"/>
      <c r="L59" s="444"/>
      <c r="M59" s="444"/>
      <c r="N59" s="444"/>
      <c r="O59" s="533"/>
      <c r="P59" s="360"/>
      <c r="Q59" s="390"/>
      <c r="R59" s="390"/>
      <c r="S59" s="390"/>
      <c r="T59" s="358" t="s">
        <v>335</v>
      </c>
      <c r="U59" s="358">
        <v>2</v>
      </c>
      <c r="V59" s="509" t="s">
        <v>268</v>
      </c>
      <c r="W59" s="360">
        <v>1091000</v>
      </c>
      <c r="X59" s="360">
        <f>U59*W59*Y55</f>
        <v>2182000</v>
      </c>
      <c r="Y59" s="494">
        <v>0.8</v>
      </c>
      <c r="Z59" s="360"/>
      <c r="AA59" s="360"/>
      <c r="AB59" s="360">
        <f t="shared" si="29"/>
        <v>0</v>
      </c>
      <c r="AC59" s="361"/>
      <c r="AD59" s="360">
        <f t="shared" si="28"/>
        <v>2182000</v>
      </c>
      <c r="AE59" s="360">
        <f t="shared" si="27"/>
        <v>2182000</v>
      </c>
      <c r="AF59" s="444"/>
      <c r="AG59" s="512"/>
      <c r="AH59" s="512"/>
      <c r="AI59" s="512"/>
      <c r="AJ59" s="512"/>
      <c r="AK59" s="512"/>
      <c r="AL59" s="512">
        <v>24</v>
      </c>
      <c r="AM59" s="512"/>
      <c r="AN59" s="512"/>
      <c r="AO59" s="512"/>
      <c r="AP59" s="512"/>
      <c r="AQ59" s="512"/>
      <c r="AR59" s="512"/>
    </row>
    <row r="60" spans="1:44" s="388" customFormat="1" ht="126.75" customHeight="1">
      <c r="A60" s="386"/>
      <c r="B60" s="508"/>
      <c r="C60" s="444"/>
      <c r="D60" s="444"/>
      <c r="E60" s="444"/>
      <c r="F60" s="444"/>
      <c r="G60" s="444"/>
      <c r="H60" s="513"/>
      <c r="I60" s="518"/>
      <c r="J60" s="518"/>
      <c r="K60" s="518"/>
      <c r="L60" s="444"/>
      <c r="M60" s="444"/>
      <c r="N60" s="444"/>
      <c r="O60" s="533"/>
      <c r="P60" s="360"/>
      <c r="Q60" s="390"/>
      <c r="R60" s="390"/>
      <c r="S60" s="390"/>
      <c r="T60" s="358" t="s">
        <v>339</v>
      </c>
      <c r="U60" s="358">
        <v>7</v>
      </c>
      <c r="V60" s="509" t="s">
        <v>268</v>
      </c>
      <c r="W60" s="360">
        <v>163000</v>
      </c>
      <c r="X60" s="360">
        <f>W60*U60*Y60</f>
        <v>912800</v>
      </c>
      <c r="Y60" s="494">
        <v>0.8</v>
      </c>
      <c r="Z60" s="360"/>
      <c r="AA60" s="360"/>
      <c r="AB60" s="360">
        <f t="shared" si="29"/>
        <v>0</v>
      </c>
      <c r="AC60" s="361"/>
      <c r="AD60" s="360">
        <f t="shared" si="28"/>
        <v>912800</v>
      </c>
      <c r="AE60" s="360">
        <f t="shared" si="27"/>
        <v>912800</v>
      </c>
      <c r="AF60" s="444"/>
      <c r="AG60" s="512"/>
      <c r="AH60" s="512"/>
      <c r="AI60" s="512"/>
      <c r="AJ60" s="512"/>
      <c r="AK60" s="512"/>
      <c r="AL60" s="512">
        <f>4*7</f>
        <v>28</v>
      </c>
      <c r="AM60" s="512"/>
      <c r="AN60" s="512"/>
      <c r="AO60" s="512"/>
      <c r="AP60" s="512"/>
      <c r="AQ60" s="512"/>
      <c r="AR60" s="512"/>
    </row>
    <row r="61" spans="1:44" s="388" customFormat="1" ht="126.75" customHeight="1">
      <c r="A61" s="386"/>
      <c r="B61" s="508"/>
      <c r="C61" s="444"/>
      <c r="D61" s="444"/>
      <c r="E61" s="444"/>
      <c r="F61" s="444"/>
      <c r="G61" s="444"/>
      <c r="H61" s="513"/>
      <c r="I61" s="518"/>
      <c r="J61" s="518"/>
      <c r="K61" s="518"/>
      <c r="L61" s="444"/>
      <c r="M61" s="444"/>
      <c r="N61" s="444"/>
      <c r="O61" s="533"/>
      <c r="P61" s="360"/>
      <c r="Q61" s="390"/>
      <c r="R61" s="390"/>
      <c r="S61" s="390"/>
      <c r="T61" s="358" t="s">
        <v>340</v>
      </c>
      <c r="U61" s="358">
        <v>10</v>
      </c>
      <c r="V61" s="358" t="s">
        <v>276</v>
      </c>
      <c r="W61" s="360">
        <v>43000</v>
      </c>
      <c r="X61" s="360">
        <f>U61*W61*Y61</f>
        <v>430000</v>
      </c>
      <c r="Y61" s="494">
        <v>1</v>
      </c>
      <c r="Z61" s="360"/>
      <c r="AA61" s="360"/>
      <c r="AB61" s="360">
        <f t="shared" si="29"/>
        <v>0</v>
      </c>
      <c r="AC61" s="361"/>
      <c r="AD61" s="360">
        <f t="shared" si="28"/>
        <v>430000</v>
      </c>
      <c r="AE61" s="360">
        <f t="shared" si="27"/>
        <v>430000</v>
      </c>
      <c r="AF61" s="444"/>
      <c r="AG61" s="512"/>
      <c r="AH61" s="512"/>
      <c r="AI61" s="512"/>
      <c r="AJ61" s="512"/>
      <c r="AK61" s="512"/>
      <c r="AL61" s="512">
        <v>20</v>
      </c>
      <c r="AM61" s="512"/>
      <c r="AN61" s="512"/>
      <c r="AO61" s="512"/>
      <c r="AP61" s="512"/>
      <c r="AQ61" s="512"/>
      <c r="AR61" s="512"/>
    </row>
    <row r="62" spans="1:44" s="388" customFormat="1" ht="126.75" customHeight="1">
      <c r="A62" s="386"/>
      <c r="B62" s="508"/>
      <c r="C62" s="444"/>
      <c r="D62" s="444"/>
      <c r="E62" s="444"/>
      <c r="F62" s="444"/>
      <c r="G62" s="444"/>
      <c r="H62" s="513"/>
      <c r="I62" s="518"/>
      <c r="J62" s="518"/>
      <c r="K62" s="518"/>
      <c r="L62" s="444"/>
      <c r="M62" s="444"/>
      <c r="N62" s="444"/>
      <c r="O62" s="533"/>
      <c r="P62" s="360"/>
      <c r="Q62" s="390"/>
      <c r="R62" s="390"/>
      <c r="S62" s="390"/>
      <c r="T62" s="509" t="s">
        <v>313</v>
      </c>
      <c r="U62" s="358">
        <v>20</v>
      </c>
      <c r="V62" s="358" t="s">
        <v>276</v>
      </c>
      <c r="W62" s="360">
        <v>9500</v>
      </c>
      <c r="X62" s="360">
        <f>U62*W62*Y62</f>
        <v>190000</v>
      </c>
      <c r="Y62" s="494">
        <v>1</v>
      </c>
      <c r="Z62" s="360"/>
      <c r="AA62" s="360"/>
      <c r="AB62" s="360">
        <f t="shared" si="29"/>
        <v>0</v>
      </c>
      <c r="AC62" s="361"/>
      <c r="AD62" s="360">
        <f t="shared" si="28"/>
        <v>190000</v>
      </c>
      <c r="AE62" s="360">
        <f t="shared" si="27"/>
        <v>190000</v>
      </c>
      <c r="AF62" s="444"/>
      <c r="AG62" s="512"/>
      <c r="AH62" s="512"/>
      <c r="AI62" s="512"/>
      <c r="AJ62" s="512"/>
      <c r="AK62" s="512"/>
      <c r="AL62" s="512">
        <v>20</v>
      </c>
      <c r="AM62" s="512"/>
      <c r="AN62" s="512"/>
      <c r="AO62" s="512"/>
      <c r="AP62" s="512"/>
      <c r="AQ62" s="512"/>
      <c r="AR62" s="512"/>
    </row>
    <row r="63" spans="1:44" s="388" customFormat="1" ht="126.75" customHeight="1">
      <c r="A63" s="386">
        <v>6</v>
      </c>
      <c r="B63" s="508" t="s">
        <v>230</v>
      </c>
      <c r="C63" s="444">
        <v>76</v>
      </c>
      <c r="D63" s="444">
        <v>81</v>
      </c>
      <c r="E63" s="444">
        <v>109.9</v>
      </c>
      <c r="F63" s="444" t="s">
        <v>45</v>
      </c>
      <c r="G63" s="444" t="s">
        <v>37</v>
      </c>
      <c r="H63" s="513"/>
      <c r="I63" s="523">
        <v>91</v>
      </c>
      <c r="J63" s="518"/>
      <c r="K63" s="518"/>
      <c r="L63" s="444"/>
      <c r="M63" s="444"/>
      <c r="N63" s="444">
        <f>SUM(H63:M63)</f>
        <v>91</v>
      </c>
      <c r="O63" s="533"/>
      <c r="P63" s="360">
        <v>60000</v>
      </c>
      <c r="Q63" s="390">
        <f>N63*P63</f>
        <v>5460000</v>
      </c>
      <c r="R63" s="390"/>
      <c r="S63" s="390"/>
      <c r="T63" s="358"/>
      <c r="U63" s="358"/>
      <c r="V63" s="358"/>
      <c r="W63" s="360"/>
      <c r="X63" s="360"/>
      <c r="Y63" s="494"/>
      <c r="Z63" s="360">
        <f>N63*10000</f>
        <v>910000</v>
      </c>
      <c r="AA63" s="360">
        <f>N63*P63*3</f>
        <v>16380000</v>
      </c>
      <c r="AB63" s="360">
        <f t="shared" si="29"/>
        <v>0</v>
      </c>
      <c r="AC63" s="361">
        <f>AB63*3500000</f>
        <v>0</v>
      </c>
      <c r="AD63" s="360">
        <f t="shared" si="28"/>
        <v>22750000</v>
      </c>
      <c r="AE63" s="360">
        <f t="shared" si="27"/>
        <v>22750000</v>
      </c>
      <c r="AF63" s="444"/>
      <c r="AG63" s="512"/>
      <c r="AH63" s="512"/>
      <c r="AI63" s="512"/>
      <c r="AJ63" s="512"/>
      <c r="AK63" s="512"/>
      <c r="AL63" s="512"/>
      <c r="AM63" s="512"/>
      <c r="AN63" s="512"/>
      <c r="AO63" s="512"/>
      <c r="AP63" s="512"/>
      <c r="AQ63" s="512"/>
      <c r="AR63" s="512"/>
    </row>
    <row r="64" spans="1:44" s="388" customFormat="1" ht="126.75" customHeight="1">
      <c r="A64" s="386">
        <v>6</v>
      </c>
      <c r="B64" s="508" t="s">
        <v>230</v>
      </c>
      <c r="C64" s="444">
        <v>76</v>
      </c>
      <c r="D64" s="444">
        <v>81</v>
      </c>
      <c r="E64" s="444">
        <v>109.9</v>
      </c>
      <c r="F64" s="444" t="s">
        <v>45</v>
      </c>
      <c r="G64" s="444" t="s">
        <v>37</v>
      </c>
      <c r="H64" s="513"/>
      <c r="I64" s="513"/>
      <c r="J64" s="513"/>
      <c r="K64" s="513"/>
      <c r="L64" s="513"/>
      <c r="M64" s="513"/>
      <c r="N64" s="513"/>
      <c r="O64" s="525"/>
      <c r="P64" s="513"/>
      <c r="Q64" s="513"/>
      <c r="R64" s="513"/>
      <c r="S64" s="513"/>
      <c r="T64" s="358" t="s">
        <v>341</v>
      </c>
      <c r="U64" s="358">
        <v>15</v>
      </c>
      <c r="V64" s="358" t="s">
        <v>276</v>
      </c>
      <c r="W64" s="360">
        <v>43000</v>
      </c>
      <c r="X64" s="360">
        <f>U64*W64*Y64</f>
        <v>645000</v>
      </c>
      <c r="Y64" s="494">
        <v>1</v>
      </c>
      <c r="Z64" s="360"/>
      <c r="AA64" s="360"/>
      <c r="AB64" s="360">
        <f t="shared" si="29"/>
        <v>0</v>
      </c>
      <c r="AC64" s="361"/>
      <c r="AD64" s="360">
        <f t="shared" si="28"/>
        <v>645000</v>
      </c>
      <c r="AE64" s="360">
        <f t="shared" si="27"/>
        <v>645000</v>
      </c>
      <c r="AF64" s="444"/>
      <c r="AG64" s="512"/>
      <c r="AH64" s="512"/>
      <c r="AI64" s="512"/>
      <c r="AJ64" s="512"/>
      <c r="AK64" s="512"/>
      <c r="AL64" s="512"/>
      <c r="AM64" s="512"/>
      <c r="AN64" s="512"/>
      <c r="AO64" s="512"/>
      <c r="AP64" s="512"/>
      <c r="AQ64" s="512"/>
      <c r="AR64" s="512"/>
    </row>
  </sheetData>
  <sheetProtection/>
  <autoFilter ref="A6:AF8"/>
  <mergeCells count="46">
    <mergeCell ref="AD34:AD35"/>
    <mergeCell ref="AE34:AE35"/>
    <mergeCell ref="X34:X35"/>
    <mergeCell ref="Y34:Y35"/>
    <mergeCell ref="Z34:Z35"/>
    <mergeCell ref="AA34:AA35"/>
    <mergeCell ref="AB34:AB35"/>
    <mergeCell ref="AC34:AC35"/>
    <mergeCell ref="P34:P35"/>
    <mergeCell ref="Q34:Q35"/>
    <mergeCell ref="T34:T35"/>
    <mergeCell ref="U34:U35"/>
    <mergeCell ref="V34:V35"/>
    <mergeCell ref="W34:W35"/>
    <mergeCell ref="J34:J35"/>
    <mergeCell ref="K34:K35"/>
    <mergeCell ref="L34:L35"/>
    <mergeCell ref="M34:M35"/>
    <mergeCell ref="N34:N35"/>
    <mergeCell ref="O34:O35"/>
    <mergeCell ref="AE4:AE5"/>
    <mergeCell ref="AF4:AF5"/>
    <mergeCell ref="A7:B7"/>
    <mergeCell ref="C34:C35"/>
    <mergeCell ref="D34:D35"/>
    <mergeCell ref="E34:E35"/>
    <mergeCell ref="F34:F35"/>
    <mergeCell ref="G34:G35"/>
    <mergeCell ref="H34:H35"/>
    <mergeCell ref="I34:I35"/>
    <mergeCell ref="O4:O5"/>
    <mergeCell ref="P4:Q4"/>
    <mergeCell ref="R4:S4"/>
    <mergeCell ref="T4:Y4"/>
    <mergeCell ref="Z4:AC4"/>
    <mergeCell ref="AD4:AD5"/>
    <mergeCell ref="A1:AF1"/>
    <mergeCell ref="A2:AF2"/>
    <mergeCell ref="A3:AF3"/>
    <mergeCell ref="A4:A5"/>
    <mergeCell ref="B4:B5"/>
    <mergeCell ref="C4:F4"/>
    <mergeCell ref="G4:G5"/>
    <mergeCell ref="H4:K4"/>
    <mergeCell ref="L4:M4"/>
    <mergeCell ref="N4:N5"/>
  </mergeCells>
  <printOptions/>
  <pageMargins left="0.393700787401575" right="0.393700787401575" top="0.393700787401575" bottom="0.393700787401575" header="0.118109142607174" footer="0.118109142607174"/>
  <pageSetup horizontalDpi="600" verticalDpi="600" orientation="landscape" paperSize="8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M57"/>
  <sheetViews>
    <sheetView view="pageBreakPreview" zoomScale="50" zoomScaleNormal="76" zoomScaleSheetLayoutView="50" zoomScalePageLayoutView="0" workbookViewId="0" topLeftCell="E1">
      <pane ySplit="5" topLeftCell="A56" activePane="bottomLeft" state="frozen"/>
      <selection pane="topLeft" activeCell="A1" sqref="A1"/>
      <selection pane="bottomLeft" activeCell="Q58" sqref="Q58"/>
    </sheetView>
  </sheetViews>
  <sheetFormatPr defaultColWidth="9.140625" defaultRowHeight="12.75"/>
  <cols>
    <col min="1" max="1" width="12.7109375" style="505" bestFit="1" customWidth="1"/>
    <col min="2" max="2" width="52.7109375" style="384" customWidth="1"/>
    <col min="3" max="4" width="9.7109375" style="345" customWidth="1"/>
    <col min="5" max="5" width="12.7109375" style="345" customWidth="1"/>
    <col min="6" max="6" width="10.28125" style="345" customWidth="1"/>
    <col min="7" max="7" width="25.28125" style="345" customWidth="1"/>
    <col min="8" max="8" width="13.28125" style="345" customWidth="1"/>
    <col min="9" max="10" width="15.28125" style="345" customWidth="1"/>
    <col min="11" max="11" width="15.140625" style="506" customWidth="1"/>
    <col min="12" max="12" width="16.57421875" style="345" customWidth="1"/>
    <col min="13" max="13" width="21.140625" style="345" customWidth="1"/>
    <col min="14" max="14" width="21.7109375" style="345" customWidth="1"/>
    <col min="15" max="15" width="19.7109375" style="345" customWidth="1"/>
    <col min="16" max="16" width="11.57421875" style="345" customWidth="1"/>
    <col min="17" max="17" width="14.57421875" style="345" customWidth="1"/>
    <col min="18" max="18" width="16.57421875" style="345" customWidth="1"/>
    <col min="19" max="19" width="19.28125" style="345" customWidth="1"/>
    <col min="20" max="20" width="13.7109375" style="345" customWidth="1"/>
    <col min="21" max="21" width="19.28125" style="345" customWidth="1"/>
    <col min="22" max="22" width="22.8515625" style="345" customWidth="1"/>
    <col min="23" max="23" width="9.7109375" style="506" customWidth="1"/>
    <col min="24" max="24" width="19.28125" style="336" customWidth="1"/>
    <col min="25" max="25" width="21.7109375" style="345" customWidth="1"/>
    <col min="26" max="26" width="20.140625" style="345" customWidth="1"/>
    <col min="27" max="27" width="15.140625" style="345" customWidth="1"/>
    <col min="28" max="29" width="0" style="336" hidden="1" customWidth="1"/>
    <col min="30" max="30" width="20.00390625" style="336" hidden="1" customWidth="1"/>
    <col min="31" max="31" width="0" style="336" hidden="1" customWidth="1"/>
    <col min="32" max="32" width="24.57421875" style="336" hidden="1" customWidth="1"/>
    <col min="33" max="35" width="9.140625" style="336" customWidth="1"/>
    <col min="36" max="36" width="20.421875" style="336" customWidth="1"/>
    <col min="37" max="39" width="9.140625" style="336" customWidth="1"/>
    <col min="40" max="16384" width="9.140625" style="345" customWidth="1"/>
  </cols>
  <sheetData>
    <row r="1" spans="1:31" ht="35.25" customHeight="1">
      <c r="A1" s="904" t="s">
        <v>293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  <c r="V1" s="904"/>
      <c r="W1" s="904"/>
      <c r="X1" s="904"/>
      <c r="Y1" s="904"/>
      <c r="Z1" s="904"/>
      <c r="AA1" s="904"/>
      <c r="AB1" s="334"/>
      <c r="AC1" s="335"/>
      <c r="AD1" s="335"/>
      <c r="AE1" s="335"/>
    </row>
    <row r="2" spans="1:31" ht="35.25" customHeight="1">
      <c r="A2" s="904" t="s">
        <v>48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904"/>
      <c r="AB2" s="334"/>
      <c r="AC2" s="335"/>
      <c r="AD2" s="335"/>
      <c r="AE2" s="335"/>
    </row>
    <row r="3" spans="1:31" ht="35.25" customHeight="1">
      <c r="A3" s="904" t="s">
        <v>239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334"/>
      <c r="AC3" s="335"/>
      <c r="AD3" s="335"/>
      <c r="AE3" s="335"/>
    </row>
    <row r="4" spans="1:31" ht="59.25" customHeight="1">
      <c r="A4" s="900" t="s">
        <v>136</v>
      </c>
      <c r="B4" s="900" t="s">
        <v>8</v>
      </c>
      <c r="C4" s="905" t="s">
        <v>27</v>
      </c>
      <c r="D4" s="905"/>
      <c r="E4" s="905"/>
      <c r="F4" s="905"/>
      <c r="G4" s="900" t="s">
        <v>9</v>
      </c>
      <c r="H4" s="906" t="s">
        <v>148</v>
      </c>
      <c r="I4" s="907"/>
      <c r="J4" s="908"/>
      <c r="K4" s="900" t="s">
        <v>14</v>
      </c>
      <c r="L4" s="909" t="s">
        <v>15</v>
      </c>
      <c r="M4" s="911" t="s">
        <v>22</v>
      </c>
      <c r="N4" s="912"/>
      <c r="O4" s="911" t="s">
        <v>10</v>
      </c>
      <c r="P4" s="913"/>
      <c r="Q4" s="913"/>
      <c r="R4" s="913"/>
      <c r="S4" s="913"/>
      <c r="T4" s="912"/>
      <c r="U4" s="914" t="s">
        <v>24</v>
      </c>
      <c r="V4" s="914"/>
      <c r="W4" s="914"/>
      <c r="X4" s="914"/>
      <c r="Y4" s="915" t="s">
        <v>16</v>
      </c>
      <c r="Z4" s="917" t="s">
        <v>17</v>
      </c>
      <c r="AA4" s="905" t="s">
        <v>7</v>
      </c>
      <c r="AB4" s="334"/>
      <c r="AC4" s="335"/>
      <c r="AD4" s="335"/>
      <c r="AE4" s="335"/>
    </row>
    <row r="5" spans="1:31" ht="292.5" customHeight="1">
      <c r="A5" s="901"/>
      <c r="B5" s="901"/>
      <c r="C5" s="549" t="s">
        <v>247</v>
      </c>
      <c r="D5" s="549" t="s">
        <v>248</v>
      </c>
      <c r="E5" s="339" t="s">
        <v>4</v>
      </c>
      <c r="F5" s="549" t="s">
        <v>18</v>
      </c>
      <c r="G5" s="901"/>
      <c r="H5" s="507" t="s">
        <v>202</v>
      </c>
      <c r="I5" s="507" t="s">
        <v>146</v>
      </c>
      <c r="J5" s="507" t="s">
        <v>294</v>
      </c>
      <c r="K5" s="901"/>
      <c r="L5" s="910"/>
      <c r="M5" s="552" t="s">
        <v>12</v>
      </c>
      <c r="N5" s="341" t="s">
        <v>21</v>
      </c>
      <c r="O5" s="553" t="s">
        <v>11</v>
      </c>
      <c r="P5" s="343" t="s">
        <v>20</v>
      </c>
      <c r="Q5" s="553" t="s">
        <v>19</v>
      </c>
      <c r="R5" s="553" t="s">
        <v>12</v>
      </c>
      <c r="S5" s="344" t="s">
        <v>13</v>
      </c>
      <c r="T5" s="344" t="s">
        <v>286</v>
      </c>
      <c r="U5" s="344" t="s">
        <v>28</v>
      </c>
      <c r="V5" s="344" t="s">
        <v>295</v>
      </c>
      <c r="W5" s="344" t="s">
        <v>25</v>
      </c>
      <c r="X5" s="553" t="s">
        <v>23</v>
      </c>
      <c r="Y5" s="916"/>
      <c r="Z5" s="918"/>
      <c r="AA5" s="905"/>
      <c r="AB5" s="334"/>
      <c r="AC5" s="335"/>
      <c r="AD5" s="335"/>
      <c r="AE5" s="335"/>
    </row>
    <row r="6" spans="1:31" ht="21.75" customHeight="1">
      <c r="A6" s="498">
        <v>1</v>
      </c>
      <c r="B6" s="375">
        <v>2</v>
      </c>
      <c r="C6" s="498">
        <v>3</v>
      </c>
      <c r="D6" s="498">
        <v>4</v>
      </c>
      <c r="E6" s="498">
        <v>5</v>
      </c>
      <c r="F6" s="498">
        <v>6</v>
      </c>
      <c r="G6" s="498">
        <v>7</v>
      </c>
      <c r="H6" s="498"/>
      <c r="I6" s="498"/>
      <c r="J6" s="498"/>
      <c r="K6" s="498">
        <v>11</v>
      </c>
      <c r="L6" s="498">
        <v>12</v>
      </c>
      <c r="M6" s="498">
        <v>14</v>
      </c>
      <c r="N6" s="498">
        <v>15</v>
      </c>
      <c r="O6" s="498">
        <v>17</v>
      </c>
      <c r="P6" s="498">
        <v>18</v>
      </c>
      <c r="Q6" s="498">
        <v>19</v>
      </c>
      <c r="R6" s="498">
        <v>20</v>
      </c>
      <c r="S6" s="498">
        <v>21</v>
      </c>
      <c r="T6" s="498"/>
      <c r="U6" s="498">
        <v>22</v>
      </c>
      <c r="V6" s="498">
        <v>23</v>
      </c>
      <c r="W6" s="498">
        <v>25</v>
      </c>
      <c r="X6" s="498">
        <v>26</v>
      </c>
      <c r="Y6" s="499">
        <v>27</v>
      </c>
      <c r="Z6" s="498">
        <v>28</v>
      </c>
      <c r="AA6" s="498">
        <v>29</v>
      </c>
      <c r="AB6" s="334"/>
      <c r="AC6" s="335"/>
      <c r="AD6" s="335"/>
      <c r="AE6" s="335"/>
    </row>
    <row r="7" spans="1:39" s="541" customFormat="1" ht="81" customHeight="1">
      <c r="A7" s="937" t="s">
        <v>345</v>
      </c>
      <c r="B7" s="938"/>
      <c r="C7" s="536"/>
      <c r="D7" s="536"/>
      <c r="E7" s="536"/>
      <c r="F7" s="536"/>
      <c r="G7" s="536"/>
      <c r="H7" s="553">
        <f aca="true" t="shared" si="0" ref="H7:N7">H8+H22</f>
        <v>1991</v>
      </c>
      <c r="I7" s="553">
        <f t="shared" si="0"/>
        <v>2499.2000000000003</v>
      </c>
      <c r="J7" s="553">
        <f t="shared" si="0"/>
        <v>216.7</v>
      </c>
      <c r="K7" s="553">
        <f t="shared" si="0"/>
        <v>4706.9</v>
      </c>
      <c r="L7" s="553">
        <f t="shared" si="0"/>
        <v>4706.9</v>
      </c>
      <c r="M7" s="542">
        <f t="shared" si="0"/>
        <v>1480000</v>
      </c>
      <c r="N7" s="542">
        <f t="shared" si="0"/>
        <v>278068500</v>
      </c>
      <c r="O7" s="553"/>
      <c r="P7" s="553">
        <f>P8+P22</f>
        <v>4131.22</v>
      </c>
      <c r="Q7" s="553"/>
      <c r="R7" s="542">
        <f>R8+R22</f>
        <v>10120700</v>
      </c>
      <c r="S7" s="542">
        <f>S8+S22</f>
        <v>209194230</v>
      </c>
      <c r="T7" s="542"/>
      <c r="U7" s="542">
        <f aca="true" t="shared" si="1" ref="U7:Z7">U8+U22</f>
        <v>45761900</v>
      </c>
      <c r="V7" s="542">
        <f t="shared" si="1"/>
        <v>834205500</v>
      </c>
      <c r="W7" s="542">
        <f t="shared" si="1"/>
        <v>19</v>
      </c>
      <c r="X7" s="542">
        <f t="shared" si="1"/>
        <v>66500000</v>
      </c>
      <c r="Y7" s="542">
        <f t="shared" si="1"/>
        <v>1351360130</v>
      </c>
      <c r="Z7" s="542">
        <f t="shared" si="1"/>
        <v>1352110630</v>
      </c>
      <c r="AA7" s="536"/>
      <c r="AB7" s="537"/>
      <c r="AC7" s="538"/>
      <c r="AD7" s="538"/>
      <c r="AE7" s="538"/>
      <c r="AF7" s="539" t="e">
        <f>P7-#REF!</f>
        <v>#REF!</v>
      </c>
      <c r="AG7" s="540"/>
      <c r="AH7" s="540"/>
      <c r="AI7" s="540"/>
      <c r="AJ7" s="344" t="e">
        <f>Z7-#REF!</f>
        <v>#REF!</v>
      </c>
      <c r="AK7" s="540"/>
      <c r="AL7" s="540"/>
      <c r="AM7" s="540"/>
    </row>
    <row r="8" spans="1:39" s="504" customFormat="1" ht="74.25" customHeight="1">
      <c r="A8" s="471">
        <v>9</v>
      </c>
      <c r="B8" s="382" t="s">
        <v>41</v>
      </c>
      <c r="C8" s="471"/>
      <c r="D8" s="471"/>
      <c r="E8" s="503"/>
      <c r="F8" s="471"/>
      <c r="G8" s="556"/>
      <c r="H8" s="556">
        <f>SUM(H9:H21)</f>
        <v>1047.3</v>
      </c>
      <c r="I8" s="556">
        <f aca="true" t="shared" si="2" ref="I8:Z8">SUM(I9:I21)</f>
        <v>522.2</v>
      </c>
      <c r="J8" s="556">
        <f t="shared" si="2"/>
        <v>216.7</v>
      </c>
      <c r="K8" s="556">
        <f t="shared" si="2"/>
        <v>1786.1999999999998</v>
      </c>
      <c r="L8" s="556">
        <f t="shared" si="2"/>
        <v>1786.2</v>
      </c>
      <c r="M8" s="556">
        <f t="shared" si="2"/>
        <v>770000</v>
      </c>
      <c r="N8" s="556">
        <f t="shared" si="2"/>
        <v>105005000</v>
      </c>
      <c r="O8" s="556"/>
      <c r="P8" s="556">
        <f t="shared" si="2"/>
        <v>1747.3</v>
      </c>
      <c r="Q8" s="556"/>
      <c r="R8" s="550">
        <f t="shared" si="2"/>
        <v>161200</v>
      </c>
      <c r="S8" s="550">
        <f t="shared" si="2"/>
        <v>18176350</v>
      </c>
      <c r="T8" s="550"/>
      <c r="U8" s="550">
        <f t="shared" si="2"/>
        <v>17862000</v>
      </c>
      <c r="V8" s="550">
        <f t="shared" si="2"/>
        <v>315015000</v>
      </c>
      <c r="W8" s="556">
        <f t="shared" si="2"/>
        <v>5</v>
      </c>
      <c r="X8" s="550">
        <f t="shared" si="2"/>
        <v>17500000</v>
      </c>
      <c r="Y8" s="550">
        <f t="shared" si="2"/>
        <v>473558350</v>
      </c>
      <c r="Z8" s="550">
        <f t="shared" si="2"/>
        <v>473558350</v>
      </c>
      <c r="AA8" s="394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</row>
    <row r="9" spans="1:39" s="388" customFormat="1" ht="78" customHeight="1">
      <c r="A9" s="386">
        <v>1</v>
      </c>
      <c r="B9" s="445" t="s">
        <v>297</v>
      </c>
      <c r="C9" s="459">
        <v>51</v>
      </c>
      <c r="D9" s="459">
        <v>72</v>
      </c>
      <c r="E9" s="459">
        <v>328.2</v>
      </c>
      <c r="F9" s="459" t="s">
        <v>0</v>
      </c>
      <c r="G9" s="459" t="s">
        <v>43</v>
      </c>
      <c r="H9" s="448">
        <v>92.1</v>
      </c>
      <c r="I9" s="448"/>
      <c r="J9" s="448"/>
      <c r="K9" s="389">
        <f aca="true" t="shared" si="3" ref="K9:K21">SUM(H9:J9)</f>
        <v>92.1</v>
      </c>
      <c r="L9" s="389">
        <f aca="true" t="shared" si="4" ref="L9:L21">K9</f>
        <v>92.1</v>
      </c>
      <c r="M9" s="390">
        <v>60000</v>
      </c>
      <c r="N9" s="390">
        <f aca="true" t="shared" si="5" ref="N9:N21">K9*M9</f>
        <v>5526000</v>
      </c>
      <c r="O9" s="389" t="s">
        <v>30</v>
      </c>
      <c r="P9" s="389">
        <f>K9</f>
        <v>92.1</v>
      </c>
      <c r="Q9" s="389" t="s">
        <v>346</v>
      </c>
      <c r="R9" s="390">
        <v>9500</v>
      </c>
      <c r="S9" s="390">
        <f aca="true" t="shared" si="6" ref="S9:S20">P9*R9*T9</f>
        <v>874950</v>
      </c>
      <c r="T9" s="494">
        <v>1</v>
      </c>
      <c r="U9" s="390">
        <f aca="true" t="shared" si="7" ref="U9:U21">K9*10000</f>
        <v>921000</v>
      </c>
      <c r="V9" s="390">
        <f aca="true" t="shared" si="8" ref="V9:V21">K9*M9*3</f>
        <v>16578000</v>
      </c>
      <c r="W9" s="390">
        <f>INT(L9/176.4)</f>
        <v>0</v>
      </c>
      <c r="X9" s="543">
        <f>W9*3500000</f>
        <v>0</v>
      </c>
      <c r="Y9" s="390">
        <f aca="true" t="shared" si="9" ref="Y9:Y21">N9+S9+U9+V9+X9</f>
        <v>23899950</v>
      </c>
      <c r="Z9" s="390">
        <f aca="true" t="shared" si="10" ref="Z9:Z15">Y9</f>
        <v>23899950</v>
      </c>
      <c r="AA9" s="377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</row>
    <row r="10" spans="1:39" s="388" customFormat="1" ht="78" customHeight="1">
      <c r="A10" s="386">
        <v>2</v>
      </c>
      <c r="B10" s="445" t="s">
        <v>298</v>
      </c>
      <c r="C10" s="459">
        <v>51</v>
      </c>
      <c r="D10" s="459">
        <v>72</v>
      </c>
      <c r="E10" s="459">
        <v>328.2</v>
      </c>
      <c r="F10" s="459" t="s">
        <v>0</v>
      </c>
      <c r="G10" s="459" t="s">
        <v>43</v>
      </c>
      <c r="H10" s="448">
        <v>236.1</v>
      </c>
      <c r="I10" s="448"/>
      <c r="J10" s="448"/>
      <c r="K10" s="389">
        <f t="shared" si="3"/>
        <v>236.1</v>
      </c>
      <c r="L10" s="389">
        <f t="shared" si="4"/>
        <v>236.1</v>
      </c>
      <c r="M10" s="390">
        <v>60000</v>
      </c>
      <c r="N10" s="390">
        <f t="shared" si="5"/>
        <v>14166000</v>
      </c>
      <c r="O10" s="389" t="s">
        <v>30</v>
      </c>
      <c r="P10" s="389">
        <f>K10</f>
        <v>236.1</v>
      </c>
      <c r="Q10" s="389" t="s">
        <v>347</v>
      </c>
      <c r="R10" s="390">
        <v>9500</v>
      </c>
      <c r="S10" s="390">
        <f t="shared" si="6"/>
        <v>2242950</v>
      </c>
      <c r="T10" s="494">
        <v>1</v>
      </c>
      <c r="U10" s="390">
        <f t="shared" si="7"/>
        <v>2361000</v>
      </c>
      <c r="V10" s="390">
        <f t="shared" si="8"/>
        <v>42498000</v>
      </c>
      <c r="W10" s="390">
        <f>INT(L10/176.4)</f>
        <v>1</v>
      </c>
      <c r="X10" s="543">
        <f>W10*3500000</f>
        <v>3500000</v>
      </c>
      <c r="Y10" s="390">
        <f t="shared" si="9"/>
        <v>64767950</v>
      </c>
      <c r="Z10" s="550">
        <f>Y10+Y11</f>
        <v>116514950</v>
      </c>
      <c r="AA10" s="377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</row>
    <row r="11" spans="1:39" s="388" customFormat="1" ht="78" customHeight="1">
      <c r="A11" s="386">
        <v>2</v>
      </c>
      <c r="B11" s="445" t="s">
        <v>298</v>
      </c>
      <c r="C11" s="459">
        <v>47</v>
      </c>
      <c r="D11" s="459">
        <v>72</v>
      </c>
      <c r="E11" s="459">
        <v>216.7</v>
      </c>
      <c r="F11" s="459" t="s">
        <v>299</v>
      </c>
      <c r="G11" s="459" t="s">
        <v>43</v>
      </c>
      <c r="H11" s="458"/>
      <c r="I11" s="448"/>
      <c r="J11" s="459">
        <v>216.7</v>
      </c>
      <c r="K11" s="389">
        <f t="shared" si="3"/>
        <v>216.7</v>
      </c>
      <c r="L11" s="389">
        <f t="shared" si="4"/>
        <v>216.7</v>
      </c>
      <c r="M11" s="390">
        <v>50000</v>
      </c>
      <c r="N11" s="390">
        <f t="shared" si="5"/>
        <v>10835000</v>
      </c>
      <c r="O11" s="509" t="s">
        <v>300</v>
      </c>
      <c r="P11" s="389">
        <v>200</v>
      </c>
      <c r="Q11" s="389" t="s">
        <v>346</v>
      </c>
      <c r="R11" s="390">
        <v>13700</v>
      </c>
      <c r="S11" s="390">
        <f t="shared" si="6"/>
        <v>2740000</v>
      </c>
      <c r="T11" s="494">
        <v>1</v>
      </c>
      <c r="U11" s="390">
        <f t="shared" si="7"/>
        <v>2167000</v>
      </c>
      <c r="V11" s="390">
        <f t="shared" si="8"/>
        <v>32505000</v>
      </c>
      <c r="W11" s="390">
        <f>INT(K11/176.4)</f>
        <v>1</v>
      </c>
      <c r="X11" s="543">
        <f aca="true" t="shared" si="11" ref="X11:X17">W11*3500000</f>
        <v>3500000</v>
      </c>
      <c r="Y11" s="390">
        <f t="shared" si="9"/>
        <v>51747000</v>
      </c>
      <c r="Z11" s="551"/>
      <c r="AA11" s="398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  <c r="AM11" s="512"/>
    </row>
    <row r="12" spans="1:39" s="388" customFormat="1" ht="76.5" customHeight="1">
      <c r="A12" s="544">
        <v>2</v>
      </c>
      <c r="B12" s="545" t="s">
        <v>342</v>
      </c>
      <c r="C12" s="544">
        <v>157</v>
      </c>
      <c r="D12" s="544">
        <v>72</v>
      </c>
      <c r="E12" s="544">
        <v>524.5</v>
      </c>
      <c r="F12" s="544" t="s">
        <v>45</v>
      </c>
      <c r="G12" s="544" t="s">
        <v>44</v>
      </c>
      <c r="H12" s="394">
        <v>240</v>
      </c>
      <c r="I12" s="394"/>
      <c r="J12" s="394"/>
      <c r="K12" s="389">
        <f t="shared" si="3"/>
        <v>240</v>
      </c>
      <c r="L12" s="389">
        <f t="shared" si="4"/>
        <v>240</v>
      </c>
      <c r="M12" s="390">
        <v>60000</v>
      </c>
      <c r="N12" s="390">
        <f>K12*M12</f>
        <v>14400000</v>
      </c>
      <c r="O12" s="389" t="s">
        <v>30</v>
      </c>
      <c r="P12" s="389">
        <f aca="true" t="shared" si="12" ref="P12:P20">K12</f>
        <v>240</v>
      </c>
      <c r="Q12" s="389" t="s">
        <v>347</v>
      </c>
      <c r="R12" s="390">
        <v>9500</v>
      </c>
      <c r="S12" s="390">
        <f>P12*R12*T12</f>
        <v>2280000</v>
      </c>
      <c r="T12" s="494">
        <v>1</v>
      </c>
      <c r="U12" s="390">
        <f t="shared" si="7"/>
        <v>2400000</v>
      </c>
      <c r="V12" s="390">
        <f t="shared" si="8"/>
        <v>43200000</v>
      </c>
      <c r="W12" s="390">
        <f aca="true" t="shared" si="13" ref="W12:W17">INT(L12/176.4)</f>
        <v>1</v>
      </c>
      <c r="X12" s="543">
        <f t="shared" si="11"/>
        <v>3500000</v>
      </c>
      <c r="Y12" s="390">
        <f t="shared" si="9"/>
        <v>65780000</v>
      </c>
      <c r="Z12" s="390">
        <f>Y12</f>
        <v>65780000</v>
      </c>
      <c r="AA12" s="398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512"/>
      <c r="AM12" s="512"/>
    </row>
    <row r="13" spans="1:39" s="388" customFormat="1" ht="78" customHeight="1">
      <c r="A13" s="386">
        <v>3</v>
      </c>
      <c r="B13" s="445" t="s">
        <v>301</v>
      </c>
      <c r="C13" s="459">
        <v>26</v>
      </c>
      <c r="D13" s="459">
        <v>82</v>
      </c>
      <c r="E13" s="459">
        <v>110.8</v>
      </c>
      <c r="F13" s="459" t="s">
        <v>0</v>
      </c>
      <c r="G13" s="459" t="s">
        <v>37</v>
      </c>
      <c r="H13" s="448"/>
      <c r="I13" s="448">
        <v>110.8</v>
      </c>
      <c r="J13" s="448"/>
      <c r="K13" s="389">
        <f t="shared" si="3"/>
        <v>110.8</v>
      </c>
      <c r="L13" s="389">
        <f t="shared" si="4"/>
        <v>110.8</v>
      </c>
      <c r="M13" s="390">
        <v>60000</v>
      </c>
      <c r="N13" s="390">
        <f t="shared" si="5"/>
        <v>6648000</v>
      </c>
      <c r="O13" s="389" t="s">
        <v>30</v>
      </c>
      <c r="P13" s="389">
        <f t="shared" si="12"/>
        <v>110.8</v>
      </c>
      <c r="Q13" s="389" t="s">
        <v>347</v>
      </c>
      <c r="R13" s="390">
        <v>9500</v>
      </c>
      <c r="S13" s="390">
        <f t="shared" si="6"/>
        <v>1052600</v>
      </c>
      <c r="T13" s="494">
        <v>1</v>
      </c>
      <c r="U13" s="390">
        <f t="shared" si="7"/>
        <v>1108000</v>
      </c>
      <c r="V13" s="390">
        <f t="shared" si="8"/>
        <v>19944000</v>
      </c>
      <c r="W13" s="390">
        <f t="shared" si="13"/>
        <v>0</v>
      </c>
      <c r="X13" s="543">
        <f t="shared" si="11"/>
        <v>0</v>
      </c>
      <c r="Y13" s="390">
        <f t="shared" si="9"/>
        <v>28752600</v>
      </c>
      <c r="Z13" s="390">
        <f t="shared" si="10"/>
        <v>28752600</v>
      </c>
      <c r="AA13" s="377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</row>
    <row r="14" spans="1:39" s="388" customFormat="1" ht="78" customHeight="1">
      <c r="A14" s="386">
        <v>4</v>
      </c>
      <c r="B14" s="445" t="s">
        <v>302</v>
      </c>
      <c r="C14" s="459">
        <v>38</v>
      </c>
      <c r="D14" s="459">
        <v>82</v>
      </c>
      <c r="E14" s="459">
        <v>173.9</v>
      </c>
      <c r="F14" s="459" t="s">
        <v>0</v>
      </c>
      <c r="G14" s="459" t="s">
        <v>37</v>
      </c>
      <c r="H14" s="458"/>
      <c r="I14" s="448">
        <v>173.9</v>
      </c>
      <c r="J14" s="459"/>
      <c r="K14" s="389">
        <f t="shared" si="3"/>
        <v>173.9</v>
      </c>
      <c r="L14" s="389">
        <f t="shared" si="4"/>
        <v>173.9</v>
      </c>
      <c r="M14" s="390">
        <v>60000</v>
      </c>
      <c r="N14" s="390">
        <f t="shared" si="5"/>
        <v>10434000</v>
      </c>
      <c r="O14" s="389" t="s">
        <v>30</v>
      </c>
      <c r="P14" s="389">
        <f t="shared" si="12"/>
        <v>173.9</v>
      </c>
      <c r="Q14" s="389" t="s">
        <v>347</v>
      </c>
      <c r="R14" s="390">
        <v>9500</v>
      </c>
      <c r="S14" s="390">
        <f t="shared" si="6"/>
        <v>1652050</v>
      </c>
      <c r="T14" s="494">
        <v>1</v>
      </c>
      <c r="U14" s="390">
        <f t="shared" si="7"/>
        <v>1739000</v>
      </c>
      <c r="V14" s="390">
        <f t="shared" si="8"/>
        <v>31302000</v>
      </c>
      <c r="W14" s="390">
        <f t="shared" si="13"/>
        <v>0</v>
      </c>
      <c r="X14" s="543">
        <f t="shared" si="11"/>
        <v>0</v>
      </c>
      <c r="Y14" s="390">
        <f t="shared" si="9"/>
        <v>45127050</v>
      </c>
      <c r="Z14" s="390">
        <f t="shared" si="10"/>
        <v>45127050</v>
      </c>
      <c r="AA14" s="398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</row>
    <row r="15" spans="1:39" s="388" customFormat="1" ht="78" customHeight="1">
      <c r="A15" s="386">
        <v>5</v>
      </c>
      <c r="B15" s="445" t="s">
        <v>303</v>
      </c>
      <c r="C15" s="459">
        <v>17</v>
      </c>
      <c r="D15" s="459">
        <v>81</v>
      </c>
      <c r="E15" s="459">
        <v>261.7</v>
      </c>
      <c r="F15" s="459" t="s">
        <v>0</v>
      </c>
      <c r="G15" s="459" t="s">
        <v>296</v>
      </c>
      <c r="H15" s="448">
        <f>E15</f>
        <v>261.7</v>
      </c>
      <c r="I15" s="448"/>
      <c r="J15" s="448"/>
      <c r="K15" s="389">
        <f t="shared" si="3"/>
        <v>261.7</v>
      </c>
      <c r="L15" s="389">
        <f t="shared" si="4"/>
        <v>261.7</v>
      </c>
      <c r="M15" s="390">
        <v>60000</v>
      </c>
      <c r="N15" s="390">
        <f t="shared" si="5"/>
        <v>15702000</v>
      </c>
      <c r="O15" s="389" t="s">
        <v>30</v>
      </c>
      <c r="P15" s="389">
        <f t="shared" si="12"/>
        <v>261.7</v>
      </c>
      <c r="Q15" s="389" t="s">
        <v>347</v>
      </c>
      <c r="R15" s="390">
        <v>9500</v>
      </c>
      <c r="S15" s="390">
        <f t="shared" si="6"/>
        <v>2486150</v>
      </c>
      <c r="T15" s="494">
        <v>1</v>
      </c>
      <c r="U15" s="390">
        <f t="shared" si="7"/>
        <v>2617000</v>
      </c>
      <c r="V15" s="390">
        <f t="shared" si="8"/>
        <v>47106000</v>
      </c>
      <c r="W15" s="390">
        <f t="shared" si="13"/>
        <v>1</v>
      </c>
      <c r="X15" s="543">
        <f t="shared" si="11"/>
        <v>3500000</v>
      </c>
      <c r="Y15" s="390">
        <f t="shared" si="9"/>
        <v>71411150</v>
      </c>
      <c r="Z15" s="390">
        <f t="shared" si="10"/>
        <v>71411150</v>
      </c>
      <c r="AA15" s="398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</row>
    <row r="16" spans="1:39" s="388" customFormat="1" ht="120" customHeight="1">
      <c r="A16" s="386">
        <v>6</v>
      </c>
      <c r="B16" s="445" t="s">
        <v>344</v>
      </c>
      <c r="C16" s="459">
        <v>8</v>
      </c>
      <c r="D16" s="459">
        <v>71</v>
      </c>
      <c r="E16" s="459">
        <v>254.7</v>
      </c>
      <c r="F16" s="459" t="s">
        <v>45</v>
      </c>
      <c r="G16" s="459" t="s">
        <v>288</v>
      </c>
      <c r="H16" s="458"/>
      <c r="I16" s="459">
        <v>30.8</v>
      </c>
      <c r="J16" s="459"/>
      <c r="K16" s="389">
        <f t="shared" si="3"/>
        <v>30.8</v>
      </c>
      <c r="L16" s="389">
        <f t="shared" si="4"/>
        <v>30.8</v>
      </c>
      <c r="M16" s="390">
        <v>60000</v>
      </c>
      <c r="N16" s="390">
        <f t="shared" si="5"/>
        <v>1848000</v>
      </c>
      <c r="O16" s="389" t="s">
        <v>30</v>
      </c>
      <c r="P16" s="389">
        <f t="shared" si="12"/>
        <v>30.8</v>
      </c>
      <c r="Q16" s="389" t="s">
        <v>347</v>
      </c>
      <c r="R16" s="390">
        <v>9500</v>
      </c>
      <c r="S16" s="390">
        <f t="shared" si="6"/>
        <v>292600</v>
      </c>
      <c r="T16" s="494">
        <v>1</v>
      </c>
      <c r="U16" s="390">
        <f t="shared" si="7"/>
        <v>308000</v>
      </c>
      <c r="V16" s="390">
        <f t="shared" si="8"/>
        <v>5544000</v>
      </c>
      <c r="W16" s="390">
        <f t="shared" si="13"/>
        <v>0</v>
      </c>
      <c r="X16" s="543">
        <f t="shared" si="11"/>
        <v>0</v>
      </c>
      <c r="Y16" s="390">
        <f t="shared" si="9"/>
        <v>7992600</v>
      </c>
      <c r="Z16" s="390">
        <f>Y16</f>
        <v>7992600</v>
      </c>
      <c r="AA16" s="398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</row>
    <row r="17" spans="1:39" s="388" customFormat="1" ht="120" customHeight="1">
      <c r="A17" s="386">
        <v>7</v>
      </c>
      <c r="B17" s="466" t="s">
        <v>221</v>
      </c>
      <c r="C17" s="459">
        <v>8</v>
      </c>
      <c r="D17" s="459">
        <v>71</v>
      </c>
      <c r="E17" s="459">
        <v>254.7</v>
      </c>
      <c r="F17" s="459" t="s">
        <v>45</v>
      </c>
      <c r="G17" s="459" t="s">
        <v>288</v>
      </c>
      <c r="H17" s="459"/>
      <c r="I17" s="459">
        <v>28.2</v>
      </c>
      <c r="J17" s="459"/>
      <c r="K17" s="459">
        <f t="shared" si="3"/>
        <v>28.2</v>
      </c>
      <c r="L17" s="554">
        <f>K17+K18</f>
        <v>162.5</v>
      </c>
      <c r="M17" s="390">
        <v>60000</v>
      </c>
      <c r="N17" s="390">
        <f t="shared" si="5"/>
        <v>1692000</v>
      </c>
      <c r="O17" s="389" t="s">
        <v>30</v>
      </c>
      <c r="P17" s="389">
        <f t="shared" si="12"/>
        <v>28.2</v>
      </c>
      <c r="Q17" s="389" t="s">
        <v>347</v>
      </c>
      <c r="R17" s="390">
        <v>9500</v>
      </c>
      <c r="S17" s="390">
        <f t="shared" si="6"/>
        <v>267900</v>
      </c>
      <c r="T17" s="494">
        <v>1</v>
      </c>
      <c r="U17" s="390">
        <f t="shared" si="7"/>
        <v>282000</v>
      </c>
      <c r="V17" s="390">
        <f t="shared" si="8"/>
        <v>5076000</v>
      </c>
      <c r="W17" s="390">
        <f t="shared" si="13"/>
        <v>0</v>
      </c>
      <c r="X17" s="543">
        <f t="shared" si="11"/>
        <v>0</v>
      </c>
      <c r="Y17" s="390">
        <f t="shared" si="9"/>
        <v>7317900</v>
      </c>
      <c r="Z17" s="550">
        <f>Y17+Y18</f>
        <v>42168750</v>
      </c>
      <c r="AA17" s="459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</row>
    <row r="18" spans="1:39" s="388" customFormat="1" ht="120" customHeight="1">
      <c r="A18" s="386">
        <v>7</v>
      </c>
      <c r="B18" s="466" t="s">
        <v>221</v>
      </c>
      <c r="C18" s="459">
        <v>213</v>
      </c>
      <c r="D18" s="459">
        <v>72</v>
      </c>
      <c r="E18" s="459">
        <v>328.1</v>
      </c>
      <c r="F18" s="459" t="s">
        <v>45</v>
      </c>
      <c r="G18" s="459" t="s">
        <v>44</v>
      </c>
      <c r="H18" s="459"/>
      <c r="I18" s="459">
        <v>134.3</v>
      </c>
      <c r="J18" s="459"/>
      <c r="K18" s="459">
        <f t="shared" si="3"/>
        <v>134.3</v>
      </c>
      <c r="L18" s="555"/>
      <c r="M18" s="390">
        <v>60000</v>
      </c>
      <c r="N18" s="390">
        <f t="shared" si="5"/>
        <v>8058000.000000001</v>
      </c>
      <c r="O18" s="389" t="s">
        <v>30</v>
      </c>
      <c r="P18" s="389">
        <f t="shared" si="12"/>
        <v>134.3</v>
      </c>
      <c r="Q18" s="389" t="s">
        <v>347</v>
      </c>
      <c r="R18" s="390">
        <v>9500</v>
      </c>
      <c r="S18" s="390">
        <f t="shared" si="6"/>
        <v>1275850</v>
      </c>
      <c r="T18" s="494">
        <v>1</v>
      </c>
      <c r="U18" s="390">
        <f t="shared" si="7"/>
        <v>1343000</v>
      </c>
      <c r="V18" s="390">
        <f t="shared" si="8"/>
        <v>24174000.000000004</v>
      </c>
      <c r="W18" s="390">
        <f>INT(L18/176.4)</f>
        <v>0</v>
      </c>
      <c r="X18" s="543">
        <f>W18*3500000</f>
        <v>0</v>
      </c>
      <c r="Y18" s="390">
        <f t="shared" si="9"/>
        <v>34850850</v>
      </c>
      <c r="Z18" s="551"/>
      <c r="AA18" s="459"/>
      <c r="AB18" s="512"/>
      <c r="AC18" s="512"/>
      <c r="AD18" s="512"/>
      <c r="AE18" s="512"/>
      <c r="AF18" s="512"/>
      <c r="AG18" s="512"/>
      <c r="AH18" s="512"/>
      <c r="AI18" s="512"/>
      <c r="AJ18" s="512"/>
      <c r="AK18" s="512"/>
      <c r="AL18" s="512"/>
      <c r="AM18" s="512"/>
    </row>
    <row r="19" spans="1:39" s="388" customFormat="1" ht="120" customHeight="1">
      <c r="A19" s="386">
        <v>8</v>
      </c>
      <c r="B19" s="466" t="s">
        <v>316</v>
      </c>
      <c r="C19" s="459">
        <v>213</v>
      </c>
      <c r="D19" s="459">
        <v>72</v>
      </c>
      <c r="E19" s="459">
        <v>328.1</v>
      </c>
      <c r="F19" s="459" t="s">
        <v>45</v>
      </c>
      <c r="G19" s="459" t="s">
        <v>44</v>
      </c>
      <c r="H19" s="459">
        <f>217.4-23.6</f>
        <v>193.8</v>
      </c>
      <c r="I19" s="459"/>
      <c r="J19" s="546"/>
      <c r="K19" s="459">
        <f t="shared" si="3"/>
        <v>193.8</v>
      </c>
      <c r="L19" s="554">
        <f>K19+K20</f>
        <v>217.4</v>
      </c>
      <c r="M19" s="390">
        <v>60000</v>
      </c>
      <c r="N19" s="390">
        <f t="shared" si="5"/>
        <v>11628000</v>
      </c>
      <c r="O19" s="389" t="s">
        <v>30</v>
      </c>
      <c r="P19" s="389">
        <f t="shared" si="12"/>
        <v>193.8</v>
      </c>
      <c r="Q19" s="389" t="s">
        <v>347</v>
      </c>
      <c r="R19" s="390">
        <v>9500</v>
      </c>
      <c r="S19" s="390">
        <f t="shared" si="6"/>
        <v>1841100</v>
      </c>
      <c r="T19" s="494">
        <v>1</v>
      </c>
      <c r="U19" s="390">
        <f t="shared" si="7"/>
        <v>1938000</v>
      </c>
      <c r="V19" s="390">
        <f t="shared" si="8"/>
        <v>34884000</v>
      </c>
      <c r="W19" s="390">
        <f>INT(L19/176.4)</f>
        <v>1</v>
      </c>
      <c r="X19" s="543">
        <f>W19*3500000</f>
        <v>3500000</v>
      </c>
      <c r="Y19" s="390">
        <f t="shared" si="9"/>
        <v>53791100</v>
      </c>
      <c r="Z19" s="390">
        <f>Y19</f>
        <v>53791100</v>
      </c>
      <c r="AA19" s="459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</row>
    <row r="20" spans="1:39" s="388" customFormat="1" ht="120" customHeight="1">
      <c r="A20" s="386">
        <v>8</v>
      </c>
      <c r="B20" s="466" t="s">
        <v>316</v>
      </c>
      <c r="C20" s="459">
        <v>213</v>
      </c>
      <c r="D20" s="459">
        <v>72</v>
      </c>
      <c r="E20" s="459">
        <v>328.1</v>
      </c>
      <c r="F20" s="459" t="s">
        <v>315</v>
      </c>
      <c r="G20" s="459" t="s">
        <v>44</v>
      </c>
      <c r="H20" s="459">
        <v>23.6</v>
      </c>
      <c r="I20" s="546"/>
      <c r="J20" s="546"/>
      <c r="K20" s="459">
        <f t="shared" si="3"/>
        <v>23.6</v>
      </c>
      <c r="L20" s="555"/>
      <c r="M20" s="390">
        <v>60000</v>
      </c>
      <c r="N20" s="390">
        <f t="shared" si="5"/>
        <v>1416000</v>
      </c>
      <c r="O20" s="389" t="s">
        <v>30</v>
      </c>
      <c r="P20" s="389">
        <f t="shared" si="12"/>
        <v>23.6</v>
      </c>
      <c r="Q20" s="389" t="s">
        <v>347</v>
      </c>
      <c r="R20" s="390">
        <v>9500</v>
      </c>
      <c r="S20" s="390">
        <f t="shared" si="6"/>
        <v>224200</v>
      </c>
      <c r="T20" s="494">
        <v>1</v>
      </c>
      <c r="U20" s="390">
        <f t="shared" si="7"/>
        <v>236000</v>
      </c>
      <c r="V20" s="390">
        <f t="shared" si="8"/>
        <v>4248000</v>
      </c>
      <c r="W20" s="390">
        <f>INT(L20/176.4)</f>
        <v>0</v>
      </c>
      <c r="X20" s="543">
        <f>W20*3500000</f>
        <v>0</v>
      </c>
      <c r="Y20" s="390">
        <f t="shared" si="9"/>
        <v>6124200</v>
      </c>
      <c r="Z20" s="390">
        <f>Y20</f>
        <v>6124200</v>
      </c>
      <c r="AA20" s="459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2"/>
      <c r="AM20" s="512"/>
    </row>
    <row r="21" spans="1:39" s="388" customFormat="1" ht="126.75" customHeight="1">
      <c r="A21" s="386">
        <v>9</v>
      </c>
      <c r="B21" s="466" t="s">
        <v>317</v>
      </c>
      <c r="C21" s="459">
        <v>61</v>
      </c>
      <c r="D21" s="459">
        <v>72</v>
      </c>
      <c r="E21" s="459">
        <v>44.2</v>
      </c>
      <c r="F21" s="459" t="s">
        <v>0</v>
      </c>
      <c r="G21" s="459" t="s">
        <v>43</v>
      </c>
      <c r="H21" s="547"/>
      <c r="I21" s="459">
        <f>E21</f>
        <v>44.2</v>
      </c>
      <c r="J21" s="546"/>
      <c r="K21" s="459">
        <f t="shared" si="3"/>
        <v>44.2</v>
      </c>
      <c r="L21" s="459">
        <f t="shared" si="4"/>
        <v>44.2</v>
      </c>
      <c r="M21" s="390">
        <v>60000</v>
      </c>
      <c r="N21" s="390">
        <f t="shared" si="5"/>
        <v>2652000</v>
      </c>
      <c r="O21" s="389" t="s">
        <v>348</v>
      </c>
      <c r="P21" s="389">
        <v>22</v>
      </c>
      <c r="Q21" s="389" t="s">
        <v>347</v>
      </c>
      <c r="R21" s="390">
        <v>43000</v>
      </c>
      <c r="S21" s="390">
        <f>P21*R21*T21</f>
        <v>946000</v>
      </c>
      <c r="T21" s="494">
        <v>1</v>
      </c>
      <c r="U21" s="390">
        <f t="shared" si="7"/>
        <v>442000</v>
      </c>
      <c r="V21" s="390">
        <f t="shared" si="8"/>
        <v>7956000</v>
      </c>
      <c r="W21" s="390">
        <f>INT(L21/176.4)</f>
        <v>0</v>
      </c>
      <c r="X21" s="543">
        <f>W21*3500000</f>
        <v>0</v>
      </c>
      <c r="Y21" s="390">
        <f t="shared" si="9"/>
        <v>11996000</v>
      </c>
      <c r="Z21" s="390">
        <f>Y21</f>
        <v>11996000</v>
      </c>
      <c r="AA21" s="459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</row>
    <row r="22" spans="1:39" s="504" customFormat="1" ht="74.25" customHeight="1">
      <c r="A22" s="394">
        <v>6</v>
      </c>
      <c r="B22" s="519" t="s">
        <v>59</v>
      </c>
      <c r="C22" s="394"/>
      <c r="D22" s="394"/>
      <c r="E22" s="520"/>
      <c r="F22" s="394"/>
      <c r="G22" s="389"/>
      <c r="H22" s="553">
        <f>SUM(H23:H56)</f>
        <v>943.7</v>
      </c>
      <c r="I22" s="553">
        <f aca="true" t="shared" si="14" ref="I22:Z22">SUM(I23:I56)</f>
        <v>1977.0000000000002</v>
      </c>
      <c r="J22" s="553"/>
      <c r="K22" s="553">
        <f t="shared" si="14"/>
        <v>2920.7000000000003</v>
      </c>
      <c r="L22" s="553">
        <f t="shared" si="14"/>
        <v>2920.7</v>
      </c>
      <c r="M22" s="542">
        <f t="shared" si="14"/>
        <v>710000</v>
      </c>
      <c r="N22" s="542">
        <f t="shared" si="14"/>
        <v>173063500</v>
      </c>
      <c r="O22" s="553"/>
      <c r="P22" s="553">
        <f t="shared" si="14"/>
        <v>2383.92</v>
      </c>
      <c r="Q22" s="553"/>
      <c r="R22" s="542">
        <f t="shared" si="14"/>
        <v>9959500</v>
      </c>
      <c r="S22" s="542">
        <f t="shared" si="14"/>
        <v>191017880</v>
      </c>
      <c r="T22" s="542">
        <f t="shared" si="14"/>
        <v>25.800000000000004</v>
      </c>
      <c r="U22" s="542">
        <f t="shared" si="14"/>
        <v>27899900</v>
      </c>
      <c r="V22" s="542">
        <f t="shared" si="14"/>
        <v>519190500</v>
      </c>
      <c r="W22" s="542">
        <f t="shared" si="14"/>
        <v>14</v>
      </c>
      <c r="X22" s="542">
        <f t="shared" si="14"/>
        <v>49000000</v>
      </c>
      <c r="Y22" s="542">
        <f t="shared" si="14"/>
        <v>877801780</v>
      </c>
      <c r="Z22" s="542">
        <f t="shared" si="14"/>
        <v>878552280</v>
      </c>
      <c r="AA22" s="394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</row>
    <row r="23" spans="1:39" s="388" customFormat="1" ht="126.75" customHeight="1">
      <c r="A23" s="386">
        <v>1</v>
      </c>
      <c r="B23" s="466" t="s">
        <v>318</v>
      </c>
      <c r="C23" s="465">
        <v>59</v>
      </c>
      <c r="D23" s="465">
        <v>81</v>
      </c>
      <c r="E23" s="448">
        <v>200.8</v>
      </c>
      <c r="F23" s="465" t="s">
        <v>45</v>
      </c>
      <c r="G23" s="459" t="s">
        <v>37</v>
      </c>
      <c r="H23" s="548"/>
      <c r="I23" s="448">
        <v>200.8</v>
      </c>
      <c r="J23" s="448"/>
      <c r="K23" s="459">
        <f>SUM(H23:J23)</f>
        <v>200.8</v>
      </c>
      <c r="L23" s="459">
        <f>K23</f>
        <v>200.8</v>
      </c>
      <c r="M23" s="390">
        <v>60000</v>
      </c>
      <c r="N23" s="390">
        <f>K23*M23</f>
        <v>12048000</v>
      </c>
      <c r="O23" s="389" t="s">
        <v>30</v>
      </c>
      <c r="P23" s="389">
        <f>K23</f>
        <v>200.8</v>
      </c>
      <c r="Q23" s="389" t="s">
        <v>347</v>
      </c>
      <c r="R23" s="390">
        <v>9500</v>
      </c>
      <c r="S23" s="390">
        <f>P23*R23*T23</f>
        <v>1907600</v>
      </c>
      <c r="T23" s="494">
        <v>1</v>
      </c>
      <c r="U23" s="390">
        <f>K23*10000</f>
        <v>2008000</v>
      </c>
      <c r="V23" s="390">
        <f>K23*M23*3</f>
        <v>36144000</v>
      </c>
      <c r="W23" s="390">
        <f>INT(L23/176.4)</f>
        <v>1</v>
      </c>
      <c r="X23" s="543">
        <f>W23*3500000</f>
        <v>3500000</v>
      </c>
      <c r="Y23" s="390">
        <f>N23+S23+U23+V23+X23</f>
        <v>55607600</v>
      </c>
      <c r="Z23" s="390">
        <f>Y23</f>
        <v>55607600</v>
      </c>
      <c r="AA23" s="459"/>
      <c r="AB23" s="512"/>
      <c r="AC23" s="512"/>
      <c r="AD23" s="512"/>
      <c r="AE23" s="512"/>
      <c r="AF23" s="512"/>
      <c r="AG23" s="512"/>
      <c r="AH23" s="512"/>
      <c r="AI23" s="512"/>
      <c r="AJ23" s="512"/>
      <c r="AK23" s="512"/>
      <c r="AL23" s="512"/>
      <c r="AM23" s="512"/>
    </row>
    <row r="24" spans="1:39" s="388" customFormat="1" ht="126.75" customHeight="1">
      <c r="A24" s="386">
        <v>2</v>
      </c>
      <c r="B24" s="466" t="s">
        <v>322</v>
      </c>
      <c r="C24" s="939">
        <v>29</v>
      </c>
      <c r="D24" s="939">
        <v>81</v>
      </c>
      <c r="E24" s="941">
        <v>333.7</v>
      </c>
      <c r="F24" s="939" t="s">
        <v>0</v>
      </c>
      <c r="G24" s="939" t="s">
        <v>296</v>
      </c>
      <c r="H24" s="941">
        <v>333.7</v>
      </c>
      <c r="I24" s="943"/>
      <c r="J24" s="943"/>
      <c r="K24" s="941">
        <f>SUM(H24:J24)</f>
        <v>333.7</v>
      </c>
      <c r="L24" s="941">
        <f>K24</f>
        <v>333.7</v>
      </c>
      <c r="M24" s="929">
        <v>60000</v>
      </c>
      <c r="N24" s="929">
        <f>K24*M24</f>
        <v>20022000</v>
      </c>
      <c r="O24" s="945" t="s">
        <v>30</v>
      </c>
      <c r="P24" s="945">
        <f>K24</f>
        <v>333.7</v>
      </c>
      <c r="Q24" s="945" t="s">
        <v>347</v>
      </c>
      <c r="R24" s="929">
        <v>9500</v>
      </c>
      <c r="S24" s="929">
        <f>P24*R24*T24</f>
        <v>3170150</v>
      </c>
      <c r="T24" s="933">
        <v>1</v>
      </c>
      <c r="U24" s="929">
        <f>K24*10000</f>
        <v>3337000</v>
      </c>
      <c r="V24" s="929">
        <f>K24*M24*3</f>
        <v>60066000</v>
      </c>
      <c r="W24" s="929">
        <f>INT(L24/176.4)</f>
        <v>1</v>
      </c>
      <c r="X24" s="947">
        <f>W24*3500000</f>
        <v>3500000</v>
      </c>
      <c r="Y24" s="929">
        <f>N24+S24+U24+V24+X24</f>
        <v>90095150</v>
      </c>
      <c r="Z24" s="929">
        <f>Y24</f>
        <v>90095150</v>
      </c>
      <c r="AA24" s="459"/>
      <c r="AB24" s="512"/>
      <c r="AC24" s="512"/>
      <c r="AD24" s="512"/>
      <c r="AE24" s="512"/>
      <c r="AF24" s="512"/>
      <c r="AG24" s="512"/>
      <c r="AH24" s="512"/>
      <c r="AI24" s="512"/>
      <c r="AJ24" s="512"/>
      <c r="AK24" s="512"/>
      <c r="AL24" s="512"/>
      <c r="AM24" s="512"/>
    </row>
    <row r="25" spans="1:39" s="388" customFormat="1" ht="126.75" customHeight="1">
      <c r="A25" s="386">
        <v>3</v>
      </c>
      <c r="B25" s="466" t="s">
        <v>323</v>
      </c>
      <c r="C25" s="940"/>
      <c r="D25" s="940"/>
      <c r="E25" s="942"/>
      <c r="F25" s="940"/>
      <c r="G25" s="940"/>
      <c r="H25" s="942"/>
      <c r="I25" s="944"/>
      <c r="J25" s="944"/>
      <c r="K25" s="942"/>
      <c r="L25" s="942"/>
      <c r="M25" s="930"/>
      <c r="N25" s="930"/>
      <c r="O25" s="946"/>
      <c r="P25" s="946"/>
      <c r="Q25" s="946"/>
      <c r="R25" s="930"/>
      <c r="S25" s="930"/>
      <c r="T25" s="934"/>
      <c r="U25" s="930"/>
      <c r="V25" s="930"/>
      <c r="W25" s="930"/>
      <c r="X25" s="948"/>
      <c r="Y25" s="930"/>
      <c r="Z25" s="930"/>
      <c r="AA25" s="459"/>
      <c r="AB25" s="512"/>
      <c r="AC25" s="512"/>
      <c r="AD25" s="512"/>
      <c r="AE25" s="512"/>
      <c r="AF25" s="512"/>
      <c r="AG25" s="512"/>
      <c r="AH25" s="512"/>
      <c r="AI25" s="512"/>
      <c r="AJ25" s="512"/>
      <c r="AK25" s="512"/>
      <c r="AL25" s="512"/>
      <c r="AM25" s="512"/>
    </row>
    <row r="26" spans="1:39" s="591" customFormat="1" ht="126.75" customHeight="1">
      <c r="A26" s="580">
        <v>4</v>
      </c>
      <c r="B26" s="581" t="s">
        <v>319</v>
      </c>
      <c r="C26" s="582">
        <v>108</v>
      </c>
      <c r="D26" s="582">
        <v>81</v>
      </c>
      <c r="E26" s="582">
        <v>567.2</v>
      </c>
      <c r="F26" s="582" t="s">
        <v>0</v>
      </c>
      <c r="G26" s="582" t="s">
        <v>37</v>
      </c>
      <c r="H26" s="580">
        <v>485.3</v>
      </c>
      <c r="I26" s="598">
        <f>529.6-H26</f>
        <v>44.30000000000001</v>
      </c>
      <c r="J26" s="598"/>
      <c r="K26" s="582">
        <f>SUM(H26:J26)</f>
        <v>529.6</v>
      </c>
      <c r="L26" s="584">
        <f>K26+K27+K28</f>
        <v>755.5</v>
      </c>
      <c r="M26" s="585">
        <v>60000</v>
      </c>
      <c r="N26" s="585">
        <f>K26*M26</f>
        <v>31776000</v>
      </c>
      <c r="O26" s="586" t="s">
        <v>30</v>
      </c>
      <c r="P26" s="587">
        <f>K26</f>
        <v>529.6</v>
      </c>
      <c r="Q26" s="587" t="s">
        <v>347</v>
      </c>
      <c r="R26" s="585">
        <v>9500</v>
      </c>
      <c r="S26" s="585">
        <f aca="true" t="shared" si="15" ref="S26:S31">P26*R26*T26</f>
        <v>5031200</v>
      </c>
      <c r="T26" s="588">
        <v>1</v>
      </c>
      <c r="U26" s="585">
        <f>K26*10000</f>
        <v>5296000</v>
      </c>
      <c r="V26" s="585">
        <f>K26*M26*3</f>
        <v>95328000</v>
      </c>
      <c r="W26" s="585">
        <f>INT(L26/176.4)</f>
        <v>4</v>
      </c>
      <c r="X26" s="589">
        <f>W26*3500000</f>
        <v>14000000</v>
      </c>
      <c r="Y26" s="585">
        <f>N26+S26+U26+V26+X26</f>
        <v>151431200</v>
      </c>
      <c r="Z26" s="585">
        <f>SUM(Y26:Y31)</f>
        <v>248411890</v>
      </c>
      <c r="AA26" s="582"/>
      <c r="AB26" s="590"/>
      <c r="AC26" s="590"/>
      <c r="AD26" s="590"/>
      <c r="AE26" s="590"/>
      <c r="AF26" s="590"/>
      <c r="AG26" s="590"/>
      <c r="AH26" s="590"/>
      <c r="AI26" s="590"/>
      <c r="AJ26" s="590"/>
      <c r="AK26" s="590"/>
      <c r="AL26" s="590"/>
      <c r="AM26" s="590"/>
    </row>
    <row r="27" spans="1:39" s="591" customFormat="1" ht="126.75" customHeight="1">
      <c r="A27" s="580">
        <v>4</v>
      </c>
      <c r="B27" s="581" t="s">
        <v>319</v>
      </c>
      <c r="C27" s="582">
        <v>79</v>
      </c>
      <c r="D27" s="582">
        <v>81</v>
      </c>
      <c r="E27" s="582">
        <v>186.7</v>
      </c>
      <c r="F27" s="582" t="s">
        <v>45</v>
      </c>
      <c r="G27" s="582" t="s">
        <v>321</v>
      </c>
      <c r="H27" s="598">
        <f>163.3-38.6</f>
        <v>124.70000000000002</v>
      </c>
      <c r="I27" s="598">
        <f>145.9-H27</f>
        <v>21.19999999999999</v>
      </c>
      <c r="J27" s="598"/>
      <c r="K27" s="582">
        <f>SUM(H27:J27)</f>
        <v>145.9</v>
      </c>
      <c r="L27" s="618"/>
      <c r="M27" s="585">
        <v>60000</v>
      </c>
      <c r="N27" s="585">
        <f>K27*M27</f>
        <v>8754000</v>
      </c>
      <c r="O27" s="586" t="s">
        <v>30</v>
      </c>
      <c r="P27" s="587">
        <f>K27</f>
        <v>145.9</v>
      </c>
      <c r="Q27" s="587" t="s">
        <v>347</v>
      </c>
      <c r="R27" s="585">
        <v>9500</v>
      </c>
      <c r="S27" s="585">
        <f t="shared" si="15"/>
        <v>1386050</v>
      </c>
      <c r="T27" s="588">
        <v>1</v>
      </c>
      <c r="U27" s="585">
        <f>K27*10000</f>
        <v>1459000</v>
      </c>
      <c r="V27" s="585">
        <f>K27*M27*3</f>
        <v>26262000</v>
      </c>
      <c r="W27" s="585">
        <f>INT(L27/176.4)</f>
        <v>0</v>
      </c>
      <c r="X27" s="589">
        <f>W27*3500000</f>
        <v>0</v>
      </c>
      <c r="Y27" s="585">
        <f>N27+S27+U27+V27+X27</f>
        <v>37861050</v>
      </c>
      <c r="Z27" s="585"/>
      <c r="AA27" s="582"/>
      <c r="AB27" s="590"/>
      <c r="AC27" s="590"/>
      <c r="AD27" s="590"/>
      <c r="AE27" s="590"/>
      <c r="AF27" s="590"/>
      <c r="AG27" s="590"/>
      <c r="AH27" s="590"/>
      <c r="AI27" s="590"/>
      <c r="AJ27" s="590"/>
      <c r="AK27" s="590"/>
      <c r="AL27" s="590"/>
      <c r="AM27" s="590"/>
    </row>
    <row r="28" spans="1:39" s="591" customFormat="1" ht="126.75" customHeight="1">
      <c r="A28" s="580">
        <v>4</v>
      </c>
      <c r="B28" s="581" t="s">
        <v>319</v>
      </c>
      <c r="C28" s="582">
        <v>73</v>
      </c>
      <c r="D28" s="582">
        <v>81</v>
      </c>
      <c r="E28" s="582">
        <v>439.8</v>
      </c>
      <c r="F28" s="582" t="s">
        <v>45</v>
      </c>
      <c r="G28" s="582" t="s">
        <v>37</v>
      </c>
      <c r="H28" s="598"/>
      <c r="I28" s="598">
        <v>80</v>
      </c>
      <c r="J28" s="598"/>
      <c r="K28" s="582">
        <f>SUM(H28:J28)</f>
        <v>80</v>
      </c>
      <c r="L28" s="618"/>
      <c r="M28" s="585">
        <v>60000</v>
      </c>
      <c r="N28" s="585">
        <f>K28*M28</f>
        <v>4800000</v>
      </c>
      <c r="O28" s="586" t="s">
        <v>30</v>
      </c>
      <c r="P28" s="587">
        <v>30</v>
      </c>
      <c r="Q28" s="587" t="s">
        <v>347</v>
      </c>
      <c r="R28" s="585">
        <v>9500</v>
      </c>
      <c r="S28" s="585">
        <f t="shared" si="15"/>
        <v>285000</v>
      </c>
      <c r="T28" s="588">
        <v>1</v>
      </c>
      <c r="U28" s="585">
        <f>K28*10000</f>
        <v>800000</v>
      </c>
      <c r="V28" s="585">
        <f>K28*M28*3</f>
        <v>14400000</v>
      </c>
      <c r="W28" s="585">
        <f aca="true" t="shared" si="16" ref="W28:W55">INT(L28/176.4)</f>
        <v>0</v>
      </c>
      <c r="X28" s="589">
        <f>W28*3500000</f>
        <v>0</v>
      </c>
      <c r="Y28" s="585">
        <f>N28+S28+U28+V28+X28</f>
        <v>20285000</v>
      </c>
      <c r="Z28" s="585"/>
      <c r="AA28" s="582"/>
      <c r="AB28" s="590"/>
      <c r="AC28" s="590"/>
      <c r="AD28" s="590"/>
      <c r="AE28" s="590"/>
      <c r="AF28" s="590"/>
      <c r="AG28" s="590"/>
      <c r="AH28" s="590"/>
      <c r="AI28" s="590"/>
      <c r="AJ28" s="590"/>
      <c r="AK28" s="590"/>
      <c r="AL28" s="590"/>
      <c r="AM28" s="590"/>
    </row>
    <row r="29" spans="1:39" s="591" customFormat="1" ht="126.75" customHeight="1">
      <c r="A29" s="580">
        <v>4</v>
      </c>
      <c r="B29" s="581" t="s">
        <v>319</v>
      </c>
      <c r="C29" s="582"/>
      <c r="D29" s="582"/>
      <c r="E29" s="582"/>
      <c r="F29" s="582"/>
      <c r="G29" s="582"/>
      <c r="H29" s="598"/>
      <c r="I29" s="598"/>
      <c r="J29" s="598"/>
      <c r="K29" s="582"/>
      <c r="L29" s="618"/>
      <c r="M29" s="585"/>
      <c r="N29" s="585"/>
      <c r="O29" s="582" t="s">
        <v>325</v>
      </c>
      <c r="P29" s="599">
        <f>5.15*8.1</f>
        <v>41.715</v>
      </c>
      <c r="Q29" s="587" t="s">
        <v>347</v>
      </c>
      <c r="R29" s="585">
        <v>1070000</v>
      </c>
      <c r="S29" s="585">
        <f t="shared" si="15"/>
        <v>35708040</v>
      </c>
      <c r="T29" s="588">
        <v>0.8</v>
      </c>
      <c r="U29" s="585"/>
      <c r="V29" s="585"/>
      <c r="W29" s="585">
        <f t="shared" si="16"/>
        <v>0</v>
      </c>
      <c r="X29" s="589"/>
      <c r="Y29" s="585">
        <f>S29</f>
        <v>35708040</v>
      </c>
      <c r="Z29" s="585"/>
      <c r="AA29" s="582"/>
      <c r="AB29" s="590"/>
      <c r="AC29" s="590"/>
      <c r="AD29" s="590"/>
      <c r="AE29" s="590"/>
      <c r="AF29" s="590"/>
      <c r="AG29" s="590"/>
      <c r="AH29" s="590"/>
      <c r="AI29" s="590"/>
      <c r="AJ29" s="590"/>
      <c r="AK29" s="590"/>
      <c r="AL29" s="590"/>
      <c r="AM29" s="590"/>
    </row>
    <row r="30" spans="1:39" s="591" customFormat="1" ht="126.75" customHeight="1">
      <c r="A30" s="580">
        <v>4</v>
      </c>
      <c r="B30" s="581" t="s">
        <v>319</v>
      </c>
      <c r="C30" s="582"/>
      <c r="D30" s="582"/>
      <c r="E30" s="582"/>
      <c r="F30" s="582"/>
      <c r="G30" s="582"/>
      <c r="H30" s="598"/>
      <c r="I30" s="598"/>
      <c r="J30" s="598"/>
      <c r="K30" s="582"/>
      <c r="L30" s="618"/>
      <c r="M30" s="585"/>
      <c r="N30" s="585"/>
      <c r="O30" s="582" t="s">
        <v>324</v>
      </c>
      <c r="P30" s="599">
        <f>0.45*11.5</f>
        <v>5.175</v>
      </c>
      <c r="Q30" s="587" t="s">
        <v>347</v>
      </c>
      <c r="R30" s="585">
        <v>430000</v>
      </c>
      <c r="S30" s="585">
        <f t="shared" si="15"/>
        <v>1780200</v>
      </c>
      <c r="T30" s="588">
        <v>0.8</v>
      </c>
      <c r="U30" s="585"/>
      <c r="V30" s="585"/>
      <c r="W30" s="585">
        <f t="shared" si="16"/>
        <v>0</v>
      </c>
      <c r="X30" s="589"/>
      <c r="Y30" s="585">
        <f>S30</f>
        <v>1780200</v>
      </c>
      <c r="Z30" s="585"/>
      <c r="AA30" s="582"/>
      <c r="AB30" s="590"/>
      <c r="AC30" s="590"/>
      <c r="AD30" s="590"/>
      <c r="AE30" s="590"/>
      <c r="AF30" s="590"/>
      <c r="AG30" s="590"/>
      <c r="AH30" s="590"/>
      <c r="AI30" s="590"/>
      <c r="AJ30" s="590"/>
      <c r="AK30" s="590"/>
      <c r="AL30" s="590"/>
      <c r="AM30" s="590"/>
    </row>
    <row r="31" spans="1:39" s="591" customFormat="1" ht="126.75" customHeight="1">
      <c r="A31" s="580">
        <v>4</v>
      </c>
      <c r="B31" s="581" t="s">
        <v>319</v>
      </c>
      <c r="C31" s="582"/>
      <c r="D31" s="582"/>
      <c r="E31" s="582"/>
      <c r="F31" s="582"/>
      <c r="G31" s="582"/>
      <c r="H31" s="598"/>
      <c r="I31" s="598"/>
      <c r="J31" s="598"/>
      <c r="K31" s="582"/>
      <c r="L31" s="619"/>
      <c r="M31" s="585"/>
      <c r="N31" s="585"/>
      <c r="O31" s="582" t="s">
        <v>326</v>
      </c>
      <c r="P31" s="599">
        <f>11*1.7</f>
        <v>18.7</v>
      </c>
      <c r="Q31" s="587" t="s">
        <v>347</v>
      </c>
      <c r="R31" s="585">
        <v>90000</v>
      </c>
      <c r="S31" s="585">
        <f t="shared" si="15"/>
        <v>1346400</v>
      </c>
      <c r="T31" s="588">
        <v>0.8</v>
      </c>
      <c r="U31" s="585"/>
      <c r="V31" s="585"/>
      <c r="W31" s="585">
        <f t="shared" si="16"/>
        <v>0</v>
      </c>
      <c r="X31" s="589"/>
      <c r="Y31" s="585">
        <f>S31</f>
        <v>1346400</v>
      </c>
      <c r="Z31" s="585"/>
      <c r="AA31" s="582" t="s">
        <v>327</v>
      </c>
      <c r="AB31" s="590"/>
      <c r="AC31" s="590"/>
      <c r="AD31" s="590"/>
      <c r="AE31" s="590"/>
      <c r="AF31" s="590"/>
      <c r="AG31" s="590"/>
      <c r="AH31" s="590"/>
      <c r="AI31" s="590"/>
      <c r="AJ31" s="590"/>
      <c r="AK31" s="590"/>
      <c r="AL31" s="590"/>
      <c r="AM31" s="590"/>
    </row>
    <row r="32" spans="1:39" s="611" customFormat="1" ht="126.75" customHeight="1">
      <c r="A32" s="600">
        <v>5</v>
      </c>
      <c r="B32" s="601" t="s">
        <v>320</v>
      </c>
      <c r="C32" s="602">
        <v>58</v>
      </c>
      <c r="D32" s="602">
        <v>81</v>
      </c>
      <c r="E32" s="602">
        <v>126.3</v>
      </c>
      <c r="F32" s="603" t="s">
        <v>45</v>
      </c>
      <c r="G32" s="603" t="s">
        <v>37</v>
      </c>
      <c r="H32" s="604"/>
      <c r="I32" s="604">
        <v>100</v>
      </c>
      <c r="J32" s="604"/>
      <c r="K32" s="603">
        <f>SUM(H32:J32)</f>
        <v>100</v>
      </c>
      <c r="L32" s="603">
        <f>K32+K34+K41</f>
        <v>404.5</v>
      </c>
      <c r="M32" s="605">
        <v>60000</v>
      </c>
      <c r="N32" s="605">
        <f>K32*M32</f>
        <v>6000000</v>
      </c>
      <c r="O32" s="603"/>
      <c r="P32" s="606"/>
      <c r="Q32" s="607"/>
      <c r="R32" s="605"/>
      <c r="S32" s="605"/>
      <c r="T32" s="608"/>
      <c r="U32" s="605">
        <f>K32*10000</f>
        <v>1000000</v>
      </c>
      <c r="V32" s="605">
        <f>K32*M32*3</f>
        <v>18000000</v>
      </c>
      <c r="W32" s="605">
        <f>INT(L32/176.4)</f>
        <v>2</v>
      </c>
      <c r="X32" s="609">
        <f>W32*3500000</f>
        <v>7000000</v>
      </c>
      <c r="Y32" s="605">
        <f>N32+S32+U32+V32+X32</f>
        <v>32000000</v>
      </c>
      <c r="Z32" s="615">
        <f>SUM(Y32:Y41)</f>
        <v>119187690</v>
      </c>
      <c r="AA32" s="603"/>
      <c r="AB32" s="61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610"/>
    </row>
    <row r="33" spans="1:39" s="611" customFormat="1" ht="126.75" customHeight="1">
      <c r="A33" s="600">
        <v>5</v>
      </c>
      <c r="B33" s="601" t="s">
        <v>320</v>
      </c>
      <c r="C33" s="602"/>
      <c r="D33" s="602"/>
      <c r="E33" s="602"/>
      <c r="F33" s="603"/>
      <c r="G33" s="603"/>
      <c r="H33" s="604"/>
      <c r="I33" s="604"/>
      <c r="J33" s="604"/>
      <c r="K33" s="603"/>
      <c r="L33" s="603"/>
      <c r="M33" s="605"/>
      <c r="N33" s="605"/>
      <c r="O33" s="603" t="s">
        <v>333</v>
      </c>
      <c r="P33" s="607">
        <v>50</v>
      </c>
      <c r="Q33" s="612" t="s">
        <v>268</v>
      </c>
      <c r="R33" s="605">
        <v>163000</v>
      </c>
      <c r="S33" s="605">
        <f>P33*R33*T33</f>
        <v>6520000</v>
      </c>
      <c r="T33" s="608">
        <f>80%</f>
        <v>0.8</v>
      </c>
      <c r="U33" s="605"/>
      <c r="V33" s="605"/>
      <c r="W33" s="605"/>
      <c r="X33" s="609"/>
      <c r="Y33" s="605"/>
      <c r="Z33" s="616"/>
      <c r="AA33" s="603"/>
      <c r="AB33" s="610"/>
      <c r="AC33" s="610"/>
      <c r="AD33" s="610"/>
      <c r="AE33" s="610"/>
      <c r="AF33" s="610"/>
      <c r="AG33" s="610"/>
      <c r="AH33" s="610"/>
      <c r="AI33" s="610"/>
      <c r="AJ33" s="610"/>
      <c r="AK33" s="610"/>
      <c r="AL33" s="610"/>
      <c r="AM33" s="610"/>
    </row>
    <row r="34" spans="1:39" s="611" customFormat="1" ht="126.75" customHeight="1">
      <c r="A34" s="600">
        <v>5</v>
      </c>
      <c r="B34" s="601" t="s">
        <v>320</v>
      </c>
      <c r="C34" s="603">
        <v>73</v>
      </c>
      <c r="D34" s="603">
        <v>81</v>
      </c>
      <c r="E34" s="603">
        <v>439.8</v>
      </c>
      <c r="F34" s="603" t="s">
        <v>45</v>
      </c>
      <c r="G34" s="603" t="s">
        <v>37</v>
      </c>
      <c r="H34" s="604"/>
      <c r="I34" s="604">
        <f>383.4-80</f>
        <v>303.4</v>
      </c>
      <c r="J34" s="604"/>
      <c r="K34" s="603">
        <f>SUM(H34:J34)</f>
        <v>303.4</v>
      </c>
      <c r="L34" s="603"/>
      <c r="M34" s="605">
        <v>60000</v>
      </c>
      <c r="N34" s="605">
        <f>K34*M34</f>
        <v>18204000</v>
      </c>
      <c r="O34" s="607"/>
      <c r="P34" s="607"/>
      <c r="Q34" s="607"/>
      <c r="R34" s="605"/>
      <c r="S34" s="605"/>
      <c r="T34" s="608"/>
      <c r="U34" s="605">
        <f>K34*10000</f>
        <v>3034000</v>
      </c>
      <c r="V34" s="605">
        <f>K34*M34*3</f>
        <v>54612000</v>
      </c>
      <c r="W34" s="605">
        <f t="shared" si="16"/>
        <v>0</v>
      </c>
      <c r="X34" s="609">
        <f>W34*3500000</f>
        <v>0</v>
      </c>
      <c r="Y34" s="605"/>
      <c r="Z34" s="616"/>
      <c r="AA34" s="603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</row>
    <row r="35" spans="1:39" s="611" customFormat="1" ht="126.75" customHeight="1">
      <c r="A35" s="600">
        <v>5</v>
      </c>
      <c r="B35" s="601" t="s">
        <v>320</v>
      </c>
      <c r="C35" s="603"/>
      <c r="D35" s="603"/>
      <c r="E35" s="603"/>
      <c r="F35" s="603"/>
      <c r="G35" s="603"/>
      <c r="H35" s="604"/>
      <c r="I35" s="604"/>
      <c r="J35" s="604"/>
      <c r="K35" s="603"/>
      <c r="L35" s="603"/>
      <c r="M35" s="605"/>
      <c r="N35" s="605"/>
      <c r="O35" s="607" t="s">
        <v>328</v>
      </c>
      <c r="P35" s="607">
        <f>8*4</f>
        <v>32</v>
      </c>
      <c r="Q35" s="605" t="s">
        <v>329</v>
      </c>
      <c r="R35" s="605">
        <v>890000</v>
      </c>
      <c r="S35" s="605">
        <f aca="true" t="shared" si="17" ref="S35:S42">P35*R35*T35</f>
        <v>22784000</v>
      </c>
      <c r="T35" s="608">
        <v>0.8</v>
      </c>
      <c r="U35" s="605"/>
      <c r="V35" s="605"/>
      <c r="W35" s="605">
        <f t="shared" si="16"/>
        <v>0</v>
      </c>
      <c r="X35" s="609"/>
      <c r="Y35" s="605">
        <f aca="true" t="shared" si="18" ref="Y35:Y40">S35</f>
        <v>22784000</v>
      </c>
      <c r="Z35" s="616"/>
      <c r="AA35" s="603"/>
      <c r="AB35" s="610"/>
      <c r="AC35" s="610"/>
      <c r="AD35" s="610"/>
      <c r="AE35" s="610"/>
      <c r="AF35" s="610"/>
      <c r="AG35" s="610">
        <v>32</v>
      </c>
      <c r="AH35" s="610"/>
      <c r="AI35" s="610"/>
      <c r="AJ35" s="610"/>
      <c r="AK35" s="610"/>
      <c r="AL35" s="610"/>
      <c r="AM35" s="610"/>
    </row>
    <row r="36" spans="1:39" s="611" customFormat="1" ht="126.75" customHeight="1">
      <c r="A36" s="600">
        <v>5</v>
      </c>
      <c r="B36" s="601" t="s">
        <v>320</v>
      </c>
      <c r="C36" s="603"/>
      <c r="D36" s="603"/>
      <c r="E36" s="603"/>
      <c r="F36" s="603"/>
      <c r="G36" s="603"/>
      <c r="H36" s="604"/>
      <c r="I36" s="604"/>
      <c r="J36" s="604"/>
      <c r="K36" s="603"/>
      <c r="L36" s="603"/>
      <c r="M36" s="605"/>
      <c r="N36" s="605"/>
      <c r="O36" s="607" t="s">
        <v>330</v>
      </c>
      <c r="P36" s="607">
        <f>1.1*3.5*5.8</f>
        <v>22.330000000000002</v>
      </c>
      <c r="Q36" s="605" t="s">
        <v>331</v>
      </c>
      <c r="R36" s="605">
        <v>1460000</v>
      </c>
      <c r="S36" s="605">
        <f t="shared" si="17"/>
        <v>26081440.000000004</v>
      </c>
      <c r="T36" s="608">
        <v>0.8</v>
      </c>
      <c r="U36" s="605"/>
      <c r="V36" s="605"/>
      <c r="W36" s="605">
        <f t="shared" si="16"/>
        <v>0</v>
      </c>
      <c r="X36" s="609"/>
      <c r="Y36" s="605">
        <f t="shared" si="18"/>
        <v>26081440.000000004</v>
      </c>
      <c r="Z36" s="616"/>
      <c r="AA36" s="603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</row>
    <row r="37" spans="1:39" s="611" customFormat="1" ht="126.75" customHeight="1">
      <c r="A37" s="600">
        <v>5</v>
      </c>
      <c r="B37" s="601" t="s">
        <v>320</v>
      </c>
      <c r="C37" s="603"/>
      <c r="D37" s="603"/>
      <c r="E37" s="603"/>
      <c r="F37" s="603"/>
      <c r="G37" s="603"/>
      <c r="H37" s="604"/>
      <c r="I37" s="604"/>
      <c r="J37" s="604"/>
      <c r="K37" s="603"/>
      <c r="L37" s="603"/>
      <c r="M37" s="605"/>
      <c r="N37" s="605"/>
      <c r="O37" s="603" t="s">
        <v>324</v>
      </c>
      <c r="P37" s="606">
        <v>12</v>
      </c>
      <c r="Q37" s="607" t="s">
        <v>347</v>
      </c>
      <c r="R37" s="605">
        <v>430000</v>
      </c>
      <c r="S37" s="605">
        <f t="shared" si="17"/>
        <v>4128000</v>
      </c>
      <c r="T37" s="608">
        <v>0.8</v>
      </c>
      <c r="U37" s="605"/>
      <c r="V37" s="605"/>
      <c r="W37" s="605">
        <f t="shared" si="16"/>
        <v>0</v>
      </c>
      <c r="X37" s="609"/>
      <c r="Y37" s="605">
        <f t="shared" si="18"/>
        <v>4128000</v>
      </c>
      <c r="Z37" s="616"/>
      <c r="AA37" s="603"/>
      <c r="AB37" s="610"/>
      <c r="AC37" s="610"/>
      <c r="AD37" s="610"/>
      <c r="AE37" s="610"/>
      <c r="AF37" s="610"/>
      <c r="AG37" s="610">
        <f>12*0.1</f>
        <v>1.2000000000000002</v>
      </c>
      <c r="AH37" s="610"/>
      <c r="AI37" s="610"/>
      <c r="AJ37" s="610"/>
      <c r="AK37" s="610"/>
      <c r="AL37" s="610"/>
      <c r="AM37" s="610"/>
    </row>
    <row r="38" spans="1:39" s="611" customFormat="1" ht="126.75" customHeight="1">
      <c r="A38" s="600">
        <v>5</v>
      </c>
      <c r="B38" s="601" t="s">
        <v>320</v>
      </c>
      <c r="C38" s="603"/>
      <c r="D38" s="603"/>
      <c r="E38" s="603"/>
      <c r="F38" s="603"/>
      <c r="G38" s="603"/>
      <c r="H38" s="604"/>
      <c r="I38" s="604"/>
      <c r="J38" s="604"/>
      <c r="K38" s="603"/>
      <c r="L38" s="603"/>
      <c r="M38" s="605"/>
      <c r="N38" s="605"/>
      <c r="O38" s="603" t="s">
        <v>332</v>
      </c>
      <c r="P38" s="607">
        <v>36</v>
      </c>
      <c r="Q38" s="607" t="s">
        <v>347</v>
      </c>
      <c r="R38" s="605">
        <v>580000</v>
      </c>
      <c r="S38" s="605">
        <f t="shared" si="17"/>
        <v>16704000</v>
      </c>
      <c r="T38" s="608">
        <v>0.8</v>
      </c>
      <c r="U38" s="605"/>
      <c r="V38" s="605"/>
      <c r="W38" s="605">
        <f t="shared" si="16"/>
        <v>0</v>
      </c>
      <c r="X38" s="609"/>
      <c r="Y38" s="605">
        <f t="shared" si="18"/>
        <v>16704000</v>
      </c>
      <c r="Z38" s="616"/>
      <c r="AA38" s="603"/>
      <c r="AB38" s="610"/>
      <c r="AC38" s="610"/>
      <c r="AD38" s="610"/>
      <c r="AE38" s="610"/>
      <c r="AF38" s="610"/>
      <c r="AG38" s="610">
        <f>36*0.2</f>
        <v>7.2</v>
      </c>
      <c r="AH38" s="610"/>
      <c r="AI38" s="610"/>
      <c r="AJ38" s="610"/>
      <c r="AK38" s="610"/>
      <c r="AL38" s="610"/>
      <c r="AM38" s="610"/>
    </row>
    <row r="39" spans="1:39" s="611" customFormat="1" ht="126.75" customHeight="1">
      <c r="A39" s="600">
        <v>5</v>
      </c>
      <c r="B39" s="601" t="s">
        <v>320</v>
      </c>
      <c r="C39" s="603"/>
      <c r="D39" s="603"/>
      <c r="E39" s="603"/>
      <c r="F39" s="603"/>
      <c r="G39" s="603"/>
      <c r="H39" s="604"/>
      <c r="I39" s="604"/>
      <c r="J39" s="604"/>
      <c r="K39" s="603"/>
      <c r="L39" s="603"/>
      <c r="M39" s="605"/>
      <c r="N39" s="605"/>
      <c r="O39" s="603" t="s">
        <v>333</v>
      </c>
      <c r="P39" s="607">
        <v>50</v>
      </c>
      <c r="Q39" s="612" t="s">
        <v>268</v>
      </c>
      <c r="R39" s="605">
        <v>163000</v>
      </c>
      <c r="S39" s="605">
        <f t="shared" si="17"/>
        <v>6520000</v>
      </c>
      <c r="T39" s="608">
        <f>T38</f>
        <v>0.8</v>
      </c>
      <c r="U39" s="605"/>
      <c r="V39" s="605"/>
      <c r="W39" s="605">
        <f t="shared" si="16"/>
        <v>0</v>
      </c>
      <c r="X39" s="609"/>
      <c r="Y39" s="605">
        <f t="shared" si="18"/>
        <v>6520000</v>
      </c>
      <c r="Z39" s="616"/>
      <c r="AA39" s="603"/>
      <c r="AB39" s="610"/>
      <c r="AC39" s="610"/>
      <c r="AD39" s="610"/>
      <c r="AE39" s="610"/>
      <c r="AF39" s="610"/>
      <c r="AG39" s="610">
        <v>250</v>
      </c>
      <c r="AH39" s="610"/>
      <c r="AI39" s="610"/>
      <c r="AJ39" s="610"/>
      <c r="AK39" s="610"/>
      <c r="AL39" s="610"/>
      <c r="AM39" s="610"/>
    </row>
    <row r="40" spans="1:39" s="611" customFormat="1" ht="126.75" customHeight="1">
      <c r="A40" s="600">
        <v>5</v>
      </c>
      <c r="B40" s="601" t="s">
        <v>320</v>
      </c>
      <c r="C40" s="603"/>
      <c r="D40" s="603"/>
      <c r="E40" s="603"/>
      <c r="F40" s="603"/>
      <c r="G40" s="603"/>
      <c r="H40" s="604"/>
      <c r="I40" s="604"/>
      <c r="J40" s="604"/>
      <c r="K40" s="603"/>
      <c r="L40" s="603"/>
      <c r="M40" s="605"/>
      <c r="N40" s="605"/>
      <c r="O40" s="603" t="s">
        <v>334</v>
      </c>
      <c r="P40" s="607">
        <f>3*4.2</f>
        <v>12.600000000000001</v>
      </c>
      <c r="Q40" s="607" t="s">
        <v>347</v>
      </c>
      <c r="R40" s="605">
        <v>1060000</v>
      </c>
      <c r="S40" s="605">
        <f t="shared" si="17"/>
        <v>10684800.000000002</v>
      </c>
      <c r="T40" s="608">
        <f>T39</f>
        <v>0.8</v>
      </c>
      <c r="U40" s="605"/>
      <c r="V40" s="605"/>
      <c r="W40" s="605">
        <f t="shared" si="16"/>
        <v>0</v>
      </c>
      <c r="X40" s="609"/>
      <c r="Y40" s="605">
        <f t="shared" si="18"/>
        <v>10684800.000000002</v>
      </c>
      <c r="Z40" s="616"/>
      <c r="AA40" s="603"/>
      <c r="AB40" s="610"/>
      <c r="AC40" s="610"/>
      <c r="AD40" s="610"/>
      <c r="AE40" s="610"/>
      <c r="AF40" s="610"/>
      <c r="AG40" s="610">
        <v>10</v>
      </c>
      <c r="AH40" s="610"/>
      <c r="AI40" s="610"/>
      <c r="AJ40" s="610"/>
      <c r="AK40" s="610"/>
      <c r="AL40" s="610"/>
      <c r="AM40" s="610"/>
    </row>
    <row r="41" spans="1:39" s="611" customFormat="1" ht="126.75" customHeight="1">
      <c r="A41" s="600">
        <v>5</v>
      </c>
      <c r="B41" s="601" t="s">
        <v>320</v>
      </c>
      <c r="C41" s="603">
        <v>87</v>
      </c>
      <c r="D41" s="603">
        <v>81</v>
      </c>
      <c r="E41" s="603">
        <v>114.2</v>
      </c>
      <c r="F41" s="603" t="s">
        <v>45</v>
      </c>
      <c r="G41" s="603" t="s">
        <v>37</v>
      </c>
      <c r="H41" s="613"/>
      <c r="I41" s="604">
        <v>1.1</v>
      </c>
      <c r="J41" s="604"/>
      <c r="K41" s="603">
        <f>SUM(H41:J41)</f>
        <v>1.1</v>
      </c>
      <c r="L41" s="603"/>
      <c r="M41" s="605">
        <v>60000</v>
      </c>
      <c r="N41" s="605">
        <f>K41*M41</f>
        <v>66000</v>
      </c>
      <c r="O41" s="614" t="s">
        <v>30</v>
      </c>
      <c r="P41" s="607">
        <f>K41</f>
        <v>1.1</v>
      </c>
      <c r="Q41" s="607" t="s">
        <v>347</v>
      </c>
      <c r="R41" s="605">
        <v>9500</v>
      </c>
      <c r="S41" s="605">
        <f t="shared" si="17"/>
        <v>10450</v>
      </c>
      <c r="T41" s="608">
        <v>1</v>
      </c>
      <c r="U41" s="605">
        <f>K41*10000</f>
        <v>11000</v>
      </c>
      <c r="V41" s="605">
        <f>K41*M41*3</f>
        <v>198000</v>
      </c>
      <c r="W41" s="605">
        <f t="shared" si="16"/>
        <v>0</v>
      </c>
      <c r="X41" s="609">
        <f>W41*3500000</f>
        <v>0</v>
      </c>
      <c r="Y41" s="605">
        <f aca="true" t="shared" si="19" ref="Y41:Y56">N41+S41+U41+V41+X41</f>
        <v>285450</v>
      </c>
      <c r="Z41" s="617"/>
      <c r="AA41" s="603"/>
      <c r="AB41" s="610"/>
      <c r="AC41" s="610"/>
      <c r="AD41" s="610"/>
      <c r="AE41" s="610"/>
      <c r="AF41" s="610"/>
      <c r="AG41" s="610"/>
      <c r="AH41" s="610"/>
      <c r="AI41" s="610"/>
      <c r="AJ41" s="610"/>
      <c r="AK41" s="610"/>
      <c r="AL41" s="610"/>
      <c r="AM41" s="610"/>
    </row>
    <row r="42" spans="1:39" s="591" customFormat="1" ht="126.75" customHeight="1">
      <c r="A42" s="580">
        <v>6</v>
      </c>
      <c r="B42" s="581" t="s">
        <v>230</v>
      </c>
      <c r="C42" s="582">
        <v>91</v>
      </c>
      <c r="D42" s="582">
        <v>81</v>
      </c>
      <c r="E42" s="582">
        <v>752.6</v>
      </c>
      <c r="F42" s="582" t="s">
        <v>0</v>
      </c>
      <c r="G42" s="582" t="s">
        <v>37</v>
      </c>
      <c r="H42" s="583"/>
      <c r="I42" s="582">
        <v>699.5</v>
      </c>
      <c r="J42" s="582"/>
      <c r="K42" s="582">
        <f>SUM(H42:J42)</f>
        <v>699.5</v>
      </c>
      <c r="L42" s="584">
        <f>K42+K43+K48+K55</f>
        <v>1226.2</v>
      </c>
      <c r="M42" s="585">
        <v>60000</v>
      </c>
      <c r="N42" s="585">
        <f>K42*M42</f>
        <v>41970000</v>
      </c>
      <c r="O42" s="586" t="s">
        <v>30</v>
      </c>
      <c r="P42" s="587">
        <f>K42</f>
        <v>699.5</v>
      </c>
      <c r="Q42" s="587" t="s">
        <v>347</v>
      </c>
      <c r="R42" s="585">
        <v>9500</v>
      </c>
      <c r="S42" s="585">
        <f t="shared" si="17"/>
        <v>6645250</v>
      </c>
      <c r="T42" s="588">
        <v>1</v>
      </c>
      <c r="U42" s="585">
        <f>K42*10000</f>
        <v>6995000</v>
      </c>
      <c r="V42" s="585">
        <f>K42*M42*3</f>
        <v>125910000</v>
      </c>
      <c r="W42" s="585">
        <f t="shared" si="16"/>
        <v>6</v>
      </c>
      <c r="X42" s="589">
        <f>W42*3500000</f>
        <v>21000000</v>
      </c>
      <c r="Y42" s="585">
        <f t="shared" si="19"/>
        <v>202520250</v>
      </c>
      <c r="Z42" s="585">
        <f>SUM(Y42:Y57)</f>
        <v>365249950</v>
      </c>
      <c r="AA42" s="582"/>
      <c r="AB42" s="590"/>
      <c r="AC42" s="590"/>
      <c r="AD42" s="590"/>
      <c r="AE42" s="590"/>
      <c r="AF42" s="590"/>
      <c r="AG42" s="590"/>
      <c r="AH42" s="590"/>
      <c r="AI42" s="590"/>
      <c r="AJ42" s="590"/>
      <c r="AK42" s="590"/>
      <c r="AL42" s="590"/>
      <c r="AM42" s="590"/>
    </row>
    <row r="43" spans="1:39" s="591" customFormat="1" ht="126.75" customHeight="1">
      <c r="A43" s="580">
        <v>6</v>
      </c>
      <c r="B43" s="581" t="s">
        <v>230</v>
      </c>
      <c r="C43" s="582">
        <v>55</v>
      </c>
      <c r="D43" s="582">
        <v>81</v>
      </c>
      <c r="E43" s="582">
        <v>252.3</v>
      </c>
      <c r="F43" s="582" t="s">
        <v>45</v>
      </c>
      <c r="G43" s="582" t="s">
        <v>37</v>
      </c>
      <c r="H43" s="583"/>
      <c r="I43" s="582">
        <v>252.3</v>
      </c>
      <c r="J43" s="582"/>
      <c r="K43" s="582">
        <f>SUM(H43:J43)</f>
        <v>252.3</v>
      </c>
      <c r="L43" s="592"/>
      <c r="M43" s="585">
        <v>55000</v>
      </c>
      <c r="N43" s="585">
        <f>K43*M43</f>
        <v>13876500</v>
      </c>
      <c r="O43" s="587"/>
      <c r="P43" s="587"/>
      <c r="Q43" s="587"/>
      <c r="R43" s="587"/>
      <c r="S43" s="587"/>
      <c r="T43" s="587"/>
      <c r="U43" s="585">
        <f>K43*7000</f>
        <v>1766100</v>
      </c>
      <c r="V43" s="585">
        <f>K43*M43*3</f>
        <v>41629500</v>
      </c>
      <c r="W43" s="585">
        <f t="shared" si="16"/>
        <v>0</v>
      </c>
      <c r="X43" s="589">
        <f>W43*3500000</f>
        <v>0</v>
      </c>
      <c r="Y43" s="585">
        <f t="shared" si="19"/>
        <v>57272100</v>
      </c>
      <c r="Z43" s="585"/>
      <c r="AA43" s="582"/>
      <c r="AB43" s="582"/>
      <c r="AC43" s="582"/>
      <c r="AD43" s="582"/>
      <c r="AE43" s="582"/>
      <c r="AF43" s="582"/>
      <c r="AG43" s="582"/>
      <c r="AH43" s="590"/>
      <c r="AI43" s="590"/>
      <c r="AJ43" s="590"/>
      <c r="AK43" s="590"/>
      <c r="AL43" s="590"/>
      <c r="AM43" s="590"/>
    </row>
    <row r="44" spans="1:39" s="591" customFormat="1" ht="126.75" customHeight="1">
      <c r="A44" s="580">
        <v>6</v>
      </c>
      <c r="B44" s="581" t="s">
        <v>230</v>
      </c>
      <c r="C44" s="582">
        <v>55</v>
      </c>
      <c r="D44" s="582">
        <v>81</v>
      </c>
      <c r="E44" s="582">
        <v>252.3</v>
      </c>
      <c r="F44" s="582" t="s">
        <v>45</v>
      </c>
      <c r="G44" s="582" t="s">
        <v>37</v>
      </c>
      <c r="H44" s="583"/>
      <c r="I44" s="582"/>
      <c r="J44" s="582"/>
      <c r="K44" s="582"/>
      <c r="L44" s="592"/>
      <c r="M44" s="585"/>
      <c r="N44" s="585"/>
      <c r="O44" s="587" t="s">
        <v>335</v>
      </c>
      <c r="P44" s="587">
        <v>14</v>
      </c>
      <c r="Q44" s="593" t="s">
        <v>268</v>
      </c>
      <c r="R44" s="585">
        <v>1091000</v>
      </c>
      <c r="S44" s="585">
        <f>P44*R44*T40</f>
        <v>12219200</v>
      </c>
      <c r="T44" s="588">
        <v>1</v>
      </c>
      <c r="U44" s="585"/>
      <c r="V44" s="585"/>
      <c r="W44" s="585">
        <f t="shared" si="16"/>
        <v>0</v>
      </c>
      <c r="X44" s="589"/>
      <c r="Y44" s="585">
        <f t="shared" si="19"/>
        <v>12219200</v>
      </c>
      <c r="Z44" s="585"/>
      <c r="AA44" s="582"/>
      <c r="AB44" s="590"/>
      <c r="AC44" s="590"/>
      <c r="AD44" s="590"/>
      <c r="AE44" s="590"/>
      <c r="AF44" s="590"/>
      <c r="AG44" s="590">
        <v>168</v>
      </c>
      <c r="AH44" s="590"/>
      <c r="AI44" s="590"/>
      <c r="AJ44" s="590"/>
      <c r="AK44" s="590"/>
      <c r="AL44" s="590"/>
      <c r="AM44" s="590"/>
    </row>
    <row r="45" spans="1:39" s="591" customFormat="1" ht="126.75" customHeight="1">
      <c r="A45" s="580">
        <v>6</v>
      </c>
      <c r="B45" s="581" t="s">
        <v>230</v>
      </c>
      <c r="C45" s="582">
        <v>55</v>
      </c>
      <c r="D45" s="582">
        <v>81</v>
      </c>
      <c r="E45" s="582">
        <v>252.3</v>
      </c>
      <c r="F45" s="582" t="s">
        <v>45</v>
      </c>
      <c r="G45" s="582" t="s">
        <v>37</v>
      </c>
      <c r="H45" s="583"/>
      <c r="I45" s="582"/>
      <c r="J45" s="582"/>
      <c r="K45" s="582"/>
      <c r="L45" s="592"/>
      <c r="M45" s="585"/>
      <c r="N45" s="585"/>
      <c r="O45" s="587" t="s">
        <v>336</v>
      </c>
      <c r="P45" s="587">
        <v>8</v>
      </c>
      <c r="Q45" s="587" t="s">
        <v>347</v>
      </c>
      <c r="R45" s="585">
        <v>43000</v>
      </c>
      <c r="S45" s="585">
        <f>P45*R45*T45</f>
        <v>344000</v>
      </c>
      <c r="T45" s="588">
        <v>1</v>
      </c>
      <c r="U45" s="585"/>
      <c r="V45" s="585"/>
      <c r="W45" s="585">
        <f t="shared" si="16"/>
        <v>0</v>
      </c>
      <c r="X45" s="589"/>
      <c r="Y45" s="585">
        <f t="shared" si="19"/>
        <v>344000</v>
      </c>
      <c r="Z45" s="585"/>
      <c r="AA45" s="582"/>
      <c r="AB45" s="590"/>
      <c r="AC45" s="590"/>
      <c r="AD45" s="590"/>
      <c r="AE45" s="590"/>
      <c r="AF45" s="590"/>
      <c r="AG45" s="590">
        <v>8</v>
      </c>
      <c r="AH45" s="590"/>
      <c r="AI45" s="590"/>
      <c r="AJ45" s="590"/>
      <c r="AK45" s="590"/>
      <c r="AL45" s="590"/>
      <c r="AM45" s="590"/>
    </row>
    <row r="46" spans="1:39" s="591" customFormat="1" ht="126.75" customHeight="1">
      <c r="A46" s="580">
        <v>6</v>
      </c>
      <c r="B46" s="581" t="s">
        <v>230</v>
      </c>
      <c r="C46" s="582">
        <v>55</v>
      </c>
      <c r="D46" s="582">
        <v>81</v>
      </c>
      <c r="E46" s="582">
        <v>252.3</v>
      </c>
      <c r="F46" s="582" t="s">
        <v>45</v>
      </c>
      <c r="G46" s="582" t="s">
        <v>37</v>
      </c>
      <c r="H46" s="583"/>
      <c r="I46" s="582"/>
      <c r="J46" s="582"/>
      <c r="K46" s="582"/>
      <c r="L46" s="592"/>
      <c r="M46" s="585"/>
      <c r="N46" s="585"/>
      <c r="O46" s="593" t="s">
        <v>306</v>
      </c>
      <c r="P46" s="587">
        <v>8</v>
      </c>
      <c r="Q46" s="593" t="s">
        <v>307</v>
      </c>
      <c r="R46" s="594">
        <v>87000</v>
      </c>
      <c r="S46" s="585">
        <f>P46*R46*T46</f>
        <v>696000</v>
      </c>
      <c r="T46" s="588">
        <v>1</v>
      </c>
      <c r="U46" s="585"/>
      <c r="V46" s="585"/>
      <c r="W46" s="585">
        <f t="shared" si="16"/>
        <v>0</v>
      </c>
      <c r="X46" s="589"/>
      <c r="Y46" s="585">
        <f t="shared" si="19"/>
        <v>696000</v>
      </c>
      <c r="Z46" s="585"/>
      <c r="AA46" s="582"/>
      <c r="AB46" s="590"/>
      <c r="AC46" s="590"/>
      <c r="AD46" s="590"/>
      <c r="AE46" s="590"/>
      <c r="AF46" s="590"/>
      <c r="AG46" s="590" t="s">
        <v>337</v>
      </c>
      <c r="AH46" s="590"/>
      <c r="AI46" s="590"/>
      <c r="AJ46" s="590"/>
      <c r="AK46" s="590"/>
      <c r="AL46" s="590"/>
      <c r="AM46" s="590"/>
    </row>
    <row r="47" spans="1:39" s="591" customFormat="1" ht="126.75" customHeight="1">
      <c r="A47" s="580">
        <v>6</v>
      </c>
      <c r="B47" s="581" t="s">
        <v>230</v>
      </c>
      <c r="C47" s="582">
        <v>55</v>
      </c>
      <c r="D47" s="582">
        <v>81</v>
      </c>
      <c r="E47" s="582">
        <v>252.3</v>
      </c>
      <c r="F47" s="582" t="s">
        <v>45</v>
      </c>
      <c r="G47" s="582" t="s">
        <v>37</v>
      </c>
      <c r="H47" s="583"/>
      <c r="I47" s="582"/>
      <c r="J47" s="582"/>
      <c r="K47" s="582"/>
      <c r="L47" s="592"/>
      <c r="M47" s="585"/>
      <c r="N47" s="585"/>
      <c r="O47" s="586" t="s">
        <v>30</v>
      </c>
      <c r="P47" s="587">
        <v>25</v>
      </c>
      <c r="Q47" s="587" t="s">
        <v>347</v>
      </c>
      <c r="R47" s="585">
        <v>9500</v>
      </c>
      <c r="S47" s="585">
        <f>P47*R47*T47</f>
        <v>237500</v>
      </c>
      <c r="T47" s="588">
        <v>1</v>
      </c>
      <c r="U47" s="585"/>
      <c r="V47" s="585"/>
      <c r="W47" s="585">
        <f t="shared" si="16"/>
        <v>0</v>
      </c>
      <c r="X47" s="589"/>
      <c r="Y47" s="585">
        <f t="shared" si="19"/>
        <v>237500</v>
      </c>
      <c r="Z47" s="585"/>
      <c r="AA47" s="582"/>
      <c r="AB47" s="590"/>
      <c r="AC47" s="590"/>
      <c r="AD47" s="590"/>
      <c r="AE47" s="590"/>
      <c r="AF47" s="590"/>
      <c r="AG47" s="590">
        <v>25</v>
      </c>
      <c r="AH47" s="590"/>
      <c r="AI47" s="590"/>
      <c r="AJ47" s="590"/>
      <c r="AK47" s="590"/>
      <c r="AL47" s="590"/>
      <c r="AM47" s="590"/>
    </row>
    <row r="48" spans="1:39" s="591" customFormat="1" ht="126.75" customHeight="1">
      <c r="A48" s="580">
        <v>6</v>
      </c>
      <c r="B48" s="581" t="s">
        <v>230</v>
      </c>
      <c r="C48" s="582">
        <v>75</v>
      </c>
      <c r="D48" s="582">
        <v>81</v>
      </c>
      <c r="E48" s="582">
        <v>183.4</v>
      </c>
      <c r="F48" s="582" t="s">
        <v>45</v>
      </c>
      <c r="G48" s="582" t="s">
        <v>37</v>
      </c>
      <c r="H48" s="583"/>
      <c r="I48" s="582">
        <v>183.4</v>
      </c>
      <c r="J48" s="582"/>
      <c r="K48" s="582">
        <f>SUM(H48:J48)</f>
        <v>183.4</v>
      </c>
      <c r="L48" s="592"/>
      <c r="M48" s="585">
        <v>55000</v>
      </c>
      <c r="N48" s="585">
        <f>K48*M48</f>
        <v>10087000</v>
      </c>
      <c r="O48" s="587"/>
      <c r="P48" s="587"/>
      <c r="Q48" s="587"/>
      <c r="R48" s="585"/>
      <c r="S48" s="585"/>
      <c r="T48" s="588"/>
      <c r="U48" s="585">
        <f>K48*7000</f>
        <v>1283800</v>
      </c>
      <c r="V48" s="585">
        <f>K48*M48*3</f>
        <v>30261000</v>
      </c>
      <c r="W48" s="585">
        <f t="shared" si="16"/>
        <v>0</v>
      </c>
      <c r="X48" s="589">
        <f>W48*3500000</f>
        <v>0</v>
      </c>
      <c r="Y48" s="585">
        <f t="shared" si="19"/>
        <v>41631800</v>
      </c>
      <c r="Z48" s="585"/>
      <c r="AA48" s="582"/>
      <c r="AB48" s="590"/>
      <c r="AC48" s="590"/>
      <c r="AD48" s="590"/>
      <c r="AE48" s="590"/>
      <c r="AF48" s="590"/>
      <c r="AG48" s="590"/>
      <c r="AH48" s="590"/>
      <c r="AI48" s="590"/>
      <c r="AJ48" s="590"/>
      <c r="AK48" s="590"/>
      <c r="AL48" s="590"/>
      <c r="AM48" s="590"/>
    </row>
    <row r="49" spans="1:39" s="591" customFormat="1" ht="126.75" customHeight="1">
      <c r="A49" s="580"/>
      <c r="B49" s="581"/>
      <c r="C49" s="582"/>
      <c r="D49" s="582"/>
      <c r="E49" s="582"/>
      <c r="F49" s="582"/>
      <c r="G49" s="582"/>
      <c r="H49" s="583"/>
      <c r="I49" s="582"/>
      <c r="J49" s="582"/>
      <c r="K49" s="582"/>
      <c r="L49" s="592"/>
      <c r="M49" s="585"/>
      <c r="N49" s="585"/>
      <c r="O49" s="587" t="s">
        <v>328</v>
      </c>
      <c r="P49" s="587">
        <f>3.2*9</f>
        <v>28.8</v>
      </c>
      <c r="Q49" s="585" t="s">
        <v>329</v>
      </c>
      <c r="R49" s="585">
        <v>890000</v>
      </c>
      <c r="S49" s="585">
        <f>P49*R49*T49</f>
        <v>20505600</v>
      </c>
      <c r="T49" s="588">
        <v>0.8</v>
      </c>
      <c r="U49" s="585"/>
      <c r="V49" s="585"/>
      <c r="W49" s="585">
        <f t="shared" si="16"/>
        <v>0</v>
      </c>
      <c r="X49" s="589"/>
      <c r="Y49" s="585">
        <f t="shared" si="19"/>
        <v>20505600</v>
      </c>
      <c r="Z49" s="585"/>
      <c r="AA49" s="582"/>
      <c r="AB49" s="590"/>
      <c r="AC49" s="590"/>
      <c r="AD49" s="590"/>
      <c r="AE49" s="590"/>
      <c r="AF49" s="590"/>
      <c r="AG49" s="595" t="s">
        <v>338</v>
      </c>
      <c r="AH49" s="590"/>
      <c r="AI49" s="590"/>
      <c r="AJ49" s="590"/>
      <c r="AK49" s="590"/>
      <c r="AL49" s="590"/>
      <c r="AM49" s="590"/>
    </row>
    <row r="50" spans="1:39" s="591" customFormat="1" ht="126.75" customHeight="1">
      <c r="A50" s="580"/>
      <c r="B50" s="581"/>
      <c r="C50" s="582"/>
      <c r="D50" s="582"/>
      <c r="E50" s="582"/>
      <c r="F50" s="582"/>
      <c r="G50" s="582"/>
      <c r="H50" s="583"/>
      <c r="I50" s="582"/>
      <c r="J50" s="582"/>
      <c r="K50" s="582"/>
      <c r="L50" s="592"/>
      <c r="M50" s="585"/>
      <c r="N50" s="585"/>
      <c r="O50" s="593" t="s">
        <v>306</v>
      </c>
      <c r="P50" s="587">
        <v>15</v>
      </c>
      <c r="Q50" s="593" t="s">
        <v>307</v>
      </c>
      <c r="R50" s="594">
        <v>87000</v>
      </c>
      <c r="S50" s="585">
        <f>P50*R50*T50</f>
        <v>1305000</v>
      </c>
      <c r="T50" s="588">
        <v>1</v>
      </c>
      <c r="U50" s="585"/>
      <c r="V50" s="585"/>
      <c r="W50" s="585">
        <f t="shared" si="16"/>
        <v>0</v>
      </c>
      <c r="X50" s="589"/>
      <c r="Y50" s="585">
        <f t="shared" si="19"/>
        <v>1305000</v>
      </c>
      <c r="Z50" s="585"/>
      <c r="AA50" s="582"/>
      <c r="AB50" s="590"/>
      <c r="AC50" s="590"/>
      <c r="AD50" s="590"/>
      <c r="AE50" s="590"/>
      <c r="AF50" s="590"/>
      <c r="AG50" s="590">
        <v>96</v>
      </c>
      <c r="AH50" s="590"/>
      <c r="AI50" s="590"/>
      <c r="AJ50" s="590"/>
      <c r="AK50" s="590"/>
      <c r="AL50" s="590"/>
      <c r="AM50" s="590"/>
    </row>
    <row r="51" spans="1:39" s="591" customFormat="1" ht="126.75" customHeight="1">
      <c r="A51" s="580"/>
      <c r="B51" s="581"/>
      <c r="C51" s="582"/>
      <c r="D51" s="582"/>
      <c r="E51" s="582"/>
      <c r="F51" s="582"/>
      <c r="G51" s="582"/>
      <c r="H51" s="583"/>
      <c r="I51" s="582"/>
      <c r="J51" s="582"/>
      <c r="K51" s="582"/>
      <c r="L51" s="592"/>
      <c r="M51" s="585"/>
      <c r="N51" s="585"/>
      <c r="O51" s="587" t="s">
        <v>335</v>
      </c>
      <c r="P51" s="587">
        <v>2</v>
      </c>
      <c r="Q51" s="593" t="s">
        <v>268</v>
      </c>
      <c r="R51" s="585">
        <v>1091000</v>
      </c>
      <c r="S51" s="585">
        <f>P51*R51*T47</f>
        <v>2182000</v>
      </c>
      <c r="T51" s="588">
        <v>1</v>
      </c>
      <c r="U51" s="585"/>
      <c r="V51" s="585"/>
      <c r="W51" s="585">
        <f t="shared" si="16"/>
        <v>0</v>
      </c>
      <c r="X51" s="589"/>
      <c r="Y51" s="585">
        <f t="shared" si="19"/>
        <v>2182000</v>
      </c>
      <c r="Z51" s="585"/>
      <c r="AA51" s="582"/>
      <c r="AB51" s="590"/>
      <c r="AC51" s="590"/>
      <c r="AD51" s="590"/>
      <c r="AE51" s="590"/>
      <c r="AF51" s="590"/>
      <c r="AG51" s="590">
        <v>24</v>
      </c>
      <c r="AH51" s="590"/>
      <c r="AI51" s="590"/>
      <c r="AJ51" s="590"/>
      <c r="AK51" s="590"/>
      <c r="AL51" s="590"/>
      <c r="AM51" s="590"/>
    </row>
    <row r="52" spans="1:39" s="591" customFormat="1" ht="126.75" customHeight="1">
      <c r="A52" s="580"/>
      <c r="B52" s="581"/>
      <c r="C52" s="582"/>
      <c r="D52" s="582"/>
      <c r="E52" s="582"/>
      <c r="F52" s="582"/>
      <c r="G52" s="582"/>
      <c r="H52" s="583"/>
      <c r="I52" s="582"/>
      <c r="J52" s="582"/>
      <c r="K52" s="582"/>
      <c r="L52" s="592"/>
      <c r="M52" s="585"/>
      <c r="N52" s="585"/>
      <c r="O52" s="587" t="s">
        <v>339</v>
      </c>
      <c r="P52" s="587">
        <v>7</v>
      </c>
      <c r="Q52" s="593" t="s">
        <v>268</v>
      </c>
      <c r="R52" s="585">
        <v>163000</v>
      </c>
      <c r="S52" s="585">
        <f>R52*P52*T52</f>
        <v>1141000</v>
      </c>
      <c r="T52" s="588">
        <v>1</v>
      </c>
      <c r="U52" s="585"/>
      <c r="V52" s="585"/>
      <c r="W52" s="585">
        <f t="shared" si="16"/>
        <v>0</v>
      </c>
      <c r="X52" s="589"/>
      <c r="Y52" s="585">
        <f t="shared" si="19"/>
        <v>1141000</v>
      </c>
      <c r="Z52" s="585"/>
      <c r="AA52" s="582"/>
      <c r="AB52" s="590"/>
      <c r="AC52" s="590"/>
      <c r="AD52" s="590"/>
      <c r="AE52" s="590"/>
      <c r="AF52" s="590"/>
      <c r="AG52" s="590">
        <f>4*7</f>
        <v>28</v>
      </c>
      <c r="AH52" s="590"/>
      <c r="AI52" s="590"/>
      <c r="AJ52" s="590"/>
      <c r="AK52" s="590"/>
      <c r="AL52" s="590"/>
      <c r="AM52" s="590"/>
    </row>
    <row r="53" spans="1:39" s="591" customFormat="1" ht="126.75" customHeight="1">
      <c r="A53" s="580"/>
      <c r="B53" s="581"/>
      <c r="C53" s="582"/>
      <c r="D53" s="582"/>
      <c r="E53" s="582"/>
      <c r="F53" s="582"/>
      <c r="G53" s="582"/>
      <c r="H53" s="583"/>
      <c r="I53" s="582"/>
      <c r="J53" s="582"/>
      <c r="K53" s="582"/>
      <c r="L53" s="592"/>
      <c r="M53" s="585"/>
      <c r="N53" s="585"/>
      <c r="O53" s="587" t="s">
        <v>340</v>
      </c>
      <c r="P53" s="587">
        <v>20</v>
      </c>
      <c r="Q53" s="587" t="s">
        <v>347</v>
      </c>
      <c r="R53" s="585">
        <v>43000</v>
      </c>
      <c r="S53" s="585">
        <f>P53*R53*T53</f>
        <v>860000</v>
      </c>
      <c r="T53" s="588">
        <v>1</v>
      </c>
      <c r="U53" s="585"/>
      <c r="V53" s="585"/>
      <c r="W53" s="585">
        <f t="shared" si="16"/>
        <v>0</v>
      </c>
      <c r="X53" s="589"/>
      <c r="Y53" s="585">
        <f t="shared" si="19"/>
        <v>860000</v>
      </c>
      <c r="Z53" s="585"/>
      <c r="AA53" s="582"/>
      <c r="AB53" s="590"/>
      <c r="AC53" s="590"/>
      <c r="AD53" s="590"/>
      <c r="AE53" s="590"/>
      <c r="AF53" s="590"/>
      <c r="AG53" s="590">
        <v>20</v>
      </c>
      <c r="AH53" s="590"/>
      <c r="AI53" s="590"/>
      <c r="AJ53" s="590"/>
      <c r="AK53" s="590"/>
      <c r="AL53" s="590"/>
      <c r="AM53" s="590"/>
    </row>
    <row r="54" spans="1:39" s="591" customFormat="1" ht="126.75" customHeight="1">
      <c r="A54" s="580"/>
      <c r="B54" s="581"/>
      <c r="C54" s="582"/>
      <c r="D54" s="582"/>
      <c r="E54" s="582"/>
      <c r="F54" s="582"/>
      <c r="G54" s="582"/>
      <c r="H54" s="583"/>
      <c r="I54" s="582"/>
      <c r="J54" s="582"/>
      <c r="K54" s="582"/>
      <c r="L54" s="592"/>
      <c r="M54" s="585"/>
      <c r="N54" s="585"/>
      <c r="O54" s="586" t="s">
        <v>30</v>
      </c>
      <c r="P54" s="587">
        <v>20</v>
      </c>
      <c r="Q54" s="587" t="s">
        <v>347</v>
      </c>
      <c r="R54" s="585">
        <v>9500</v>
      </c>
      <c r="S54" s="585">
        <f>P54*R54*T54</f>
        <v>190000</v>
      </c>
      <c r="T54" s="588">
        <v>1</v>
      </c>
      <c r="U54" s="585"/>
      <c r="V54" s="585"/>
      <c r="W54" s="585">
        <f t="shared" si="16"/>
        <v>0</v>
      </c>
      <c r="X54" s="589"/>
      <c r="Y54" s="585">
        <f t="shared" si="19"/>
        <v>190000</v>
      </c>
      <c r="Z54" s="585"/>
      <c r="AA54" s="582"/>
      <c r="AB54" s="590"/>
      <c r="AC54" s="590"/>
      <c r="AD54" s="590"/>
      <c r="AE54" s="590"/>
      <c r="AF54" s="590"/>
      <c r="AG54" s="590">
        <v>20</v>
      </c>
      <c r="AH54" s="590"/>
      <c r="AI54" s="590"/>
      <c r="AJ54" s="590"/>
      <c r="AK54" s="590"/>
      <c r="AL54" s="590"/>
      <c r="AM54" s="590"/>
    </row>
    <row r="55" spans="1:39" s="591" customFormat="1" ht="126.75" customHeight="1">
      <c r="A55" s="580">
        <v>6</v>
      </c>
      <c r="B55" s="581" t="s">
        <v>230</v>
      </c>
      <c r="C55" s="582">
        <v>76</v>
      </c>
      <c r="D55" s="582">
        <v>81</v>
      </c>
      <c r="E55" s="582">
        <v>109.9</v>
      </c>
      <c r="F55" s="582" t="s">
        <v>45</v>
      </c>
      <c r="G55" s="582" t="s">
        <v>37</v>
      </c>
      <c r="H55" s="583"/>
      <c r="I55" s="596">
        <v>91</v>
      </c>
      <c r="J55" s="582"/>
      <c r="K55" s="582">
        <f>SUM(H55:J55)</f>
        <v>91</v>
      </c>
      <c r="L55" s="592"/>
      <c r="M55" s="585">
        <v>60000</v>
      </c>
      <c r="N55" s="585">
        <f>K55*M55</f>
        <v>5460000</v>
      </c>
      <c r="O55" s="587"/>
      <c r="P55" s="587"/>
      <c r="Q55" s="587"/>
      <c r="R55" s="585"/>
      <c r="S55" s="585"/>
      <c r="T55" s="588"/>
      <c r="U55" s="585">
        <f>K55*10000</f>
        <v>910000</v>
      </c>
      <c r="V55" s="585">
        <f>K55*M55*3</f>
        <v>16380000</v>
      </c>
      <c r="W55" s="585">
        <f t="shared" si="16"/>
        <v>0</v>
      </c>
      <c r="X55" s="589">
        <f>W55*3500000</f>
        <v>0</v>
      </c>
      <c r="Y55" s="585">
        <f t="shared" si="19"/>
        <v>22750000</v>
      </c>
      <c r="Z55" s="585"/>
      <c r="AA55" s="582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</row>
    <row r="56" spans="1:39" s="591" customFormat="1" ht="126.75" customHeight="1">
      <c r="A56" s="580">
        <v>6</v>
      </c>
      <c r="B56" s="581" t="s">
        <v>230</v>
      </c>
      <c r="C56" s="582">
        <v>76</v>
      </c>
      <c r="D56" s="582">
        <v>81</v>
      </c>
      <c r="E56" s="582">
        <v>109.9</v>
      </c>
      <c r="F56" s="582" t="s">
        <v>45</v>
      </c>
      <c r="G56" s="582" t="s">
        <v>37</v>
      </c>
      <c r="H56" s="583"/>
      <c r="I56" s="583"/>
      <c r="J56" s="583"/>
      <c r="K56" s="583"/>
      <c r="L56" s="597"/>
      <c r="M56" s="583"/>
      <c r="N56" s="583"/>
      <c r="O56" s="587" t="s">
        <v>341</v>
      </c>
      <c r="P56" s="587">
        <v>15</v>
      </c>
      <c r="Q56" s="587" t="s">
        <v>347</v>
      </c>
      <c r="R56" s="585">
        <v>43000</v>
      </c>
      <c r="S56" s="585">
        <f>P56*R56*T56</f>
        <v>645000</v>
      </c>
      <c r="T56" s="588">
        <v>1</v>
      </c>
      <c r="U56" s="585"/>
      <c r="V56" s="585"/>
      <c r="W56" s="585"/>
      <c r="X56" s="585"/>
      <c r="Y56" s="585">
        <f t="shared" si="19"/>
        <v>645000</v>
      </c>
      <c r="Z56" s="585"/>
      <c r="AA56" s="582"/>
      <c r="AB56" s="590"/>
      <c r="AC56" s="590"/>
      <c r="AD56" s="590"/>
      <c r="AE56" s="590"/>
      <c r="AF56" s="590"/>
      <c r="AG56" s="590">
        <v>30</v>
      </c>
      <c r="AH56" s="590"/>
      <c r="AI56" s="590"/>
      <c r="AJ56" s="590"/>
      <c r="AK56" s="590"/>
      <c r="AL56" s="590"/>
      <c r="AM56" s="590"/>
    </row>
    <row r="57" spans="1:39" s="591" customFormat="1" ht="126.75" customHeight="1">
      <c r="A57" s="580">
        <v>6</v>
      </c>
      <c r="B57" s="581" t="s">
        <v>230</v>
      </c>
      <c r="C57" s="582">
        <v>76</v>
      </c>
      <c r="D57" s="582">
        <v>81</v>
      </c>
      <c r="E57" s="582">
        <v>109.9</v>
      </c>
      <c r="F57" s="582" t="s">
        <v>45</v>
      </c>
      <c r="G57" s="582" t="s">
        <v>37</v>
      </c>
      <c r="H57" s="583"/>
      <c r="I57" s="583"/>
      <c r="J57" s="583"/>
      <c r="K57" s="583"/>
      <c r="L57" s="597"/>
      <c r="M57" s="583"/>
      <c r="N57" s="583"/>
      <c r="O57" s="587" t="s">
        <v>30</v>
      </c>
      <c r="P57" s="587">
        <v>79</v>
      </c>
      <c r="Q57" s="587" t="s">
        <v>347</v>
      </c>
      <c r="R57" s="585">
        <v>9500</v>
      </c>
      <c r="S57" s="585">
        <f>P57*R57*T57</f>
        <v>750500</v>
      </c>
      <c r="T57" s="588">
        <v>1</v>
      </c>
      <c r="U57" s="585"/>
      <c r="V57" s="585"/>
      <c r="W57" s="585"/>
      <c r="X57" s="585"/>
      <c r="Y57" s="585">
        <f>N57+S57+U57+V57+X57</f>
        <v>750500</v>
      </c>
      <c r="Z57" s="585"/>
      <c r="AA57" s="582"/>
      <c r="AB57" s="590"/>
      <c r="AC57" s="590"/>
      <c r="AD57" s="590"/>
      <c r="AE57" s="590"/>
      <c r="AF57" s="590"/>
      <c r="AG57" s="590">
        <v>79</v>
      </c>
      <c r="AH57" s="590"/>
      <c r="AI57" s="590"/>
      <c r="AJ57" s="590"/>
      <c r="AK57" s="590"/>
      <c r="AL57" s="590"/>
      <c r="AM57" s="590"/>
    </row>
  </sheetData>
  <sheetProtection/>
  <autoFilter ref="A6:AA56"/>
  <mergeCells count="41">
    <mergeCell ref="Z24:Z25"/>
    <mergeCell ref="T24:T25"/>
    <mergeCell ref="U24:U25"/>
    <mergeCell ref="V24:V25"/>
    <mergeCell ref="W24:W25"/>
    <mergeCell ref="X24:X25"/>
    <mergeCell ref="Y24:Y25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A7:B7"/>
    <mergeCell ref="C24:C25"/>
    <mergeCell ref="D24:D25"/>
    <mergeCell ref="E24:E25"/>
    <mergeCell ref="F24:F25"/>
    <mergeCell ref="G24:G25"/>
    <mergeCell ref="M4:N4"/>
    <mergeCell ref="O4:T4"/>
    <mergeCell ref="U4:X4"/>
    <mergeCell ref="Y4:Y5"/>
    <mergeCell ref="Z4:Z5"/>
    <mergeCell ref="AA4:AA5"/>
    <mergeCell ref="A1:AA1"/>
    <mergeCell ref="A2:AA2"/>
    <mergeCell ref="A3:AA3"/>
    <mergeCell ref="A4:A5"/>
    <mergeCell ref="B4:B5"/>
    <mergeCell ref="C4:F4"/>
    <mergeCell ref="G4:G5"/>
    <mergeCell ref="H4:J4"/>
    <mergeCell ref="K4:K5"/>
    <mergeCell ref="L4:L5"/>
  </mergeCells>
  <printOptions/>
  <pageMargins left="0.393700787401575" right="0.393700787401575" top="0.393700787401575" bottom="0.393700787401575" header="0.118109142607174" footer="0.118109142607174"/>
  <pageSetup horizontalDpi="600" verticalDpi="600" orientation="landscape" paperSize="8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2">
      <selection activeCell="F6" sqref="F6"/>
    </sheetView>
  </sheetViews>
  <sheetFormatPr defaultColWidth="9.140625" defaultRowHeight="12.75"/>
  <cols>
    <col min="1" max="1" width="8.28125" style="0" customWidth="1"/>
    <col min="2" max="2" width="79.140625" style="0" customWidth="1"/>
    <col min="3" max="3" width="11.421875" style="699" customWidth="1"/>
    <col min="4" max="4" width="10.140625" style="699" customWidth="1"/>
    <col min="5" max="5" width="13.00390625" style="699" customWidth="1"/>
    <col min="6" max="6" width="17.00390625" style="0" customWidth="1"/>
    <col min="7" max="7" width="26.140625" style="0" customWidth="1"/>
    <col min="9" max="9" width="21.140625" style="0" bestFit="1" customWidth="1"/>
  </cols>
  <sheetData>
    <row r="1" spans="1:7" ht="43.5" customHeight="1">
      <c r="A1" s="949" t="s">
        <v>367</v>
      </c>
      <c r="B1" s="949"/>
      <c r="C1" s="949"/>
      <c r="D1" s="949"/>
      <c r="E1" s="949"/>
      <c r="F1" s="949"/>
      <c r="G1" s="949"/>
    </row>
    <row r="2" spans="1:7" ht="19.5" customHeight="1">
      <c r="A2" s="949" t="s">
        <v>349</v>
      </c>
      <c r="B2" s="949"/>
      <c r="C2" s="949"/>
      <c r="D2" s="949"/>
      <c r="E2" s="949"/>
      <c r="F2" s="949"/>
      <c r="G2" s="949"/>
    </row>
    <row r="3" spans="1:30" ht="23.25" customHeight="1">
      <c r="A3" s="950" t="s">
        <v>412</v>
      </c>
      <c r="B3" s="950"/>
      <c r="C3" s="950"/>
      <c r="D3" s="950"/>
      <c r="E3" s="950"/>
      <c r="F3" s="950"/>
      <c r="G3" s="950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</row>
    <row r="4" spans="1:7" ht="42" customHeight="1">
      <c r="A4" s="558" t="s">
        <v>136</v>
      </c>
      <c r="B4" s="559" t="s">
        <v>350</v>
      </c>
      <c r="C4" s="560" t="s">
        <v>20</v>
      </c>
      <c r="D4" s="558" t="s">
        <v>19</v>
      </c>
      <c r="E4" s="561" t="s">
        <v>12</v>
      </c>
      <c r="F4" s="560" t="s">
        <v>21</v>
      </c>
      <c r="G4" s="562" t="s">
        <v>7</v>
      </c>
    </row>
    <row r="5" spans="1:7" ht="18">
      <c r="A5" s="563">
        <v>0</v>
      </c>
      <c r="B5" s="563">
        <v>1</v>
      </c>
      <c r="C5" s="563">
        <v>2</v>
      </c>
      <c r="D5" s="563">
        <v>3</v>
      </c>
      <c r="E5" s="563">
        <v>4</v>
      </c>
      <c r="F5" s="563" t="s">
        <v>351</v>
      </c>
      <c r="G5" s="563">
        <v>6</v>
      </c>
    </row>
    <row r="6" spans="1:9" ht="39" customHeight="1">
      <c r="A6" s="951" t="s">
        <v>409</v>
      </c>
      <c r="B6" s="951"/>
      <c r="C6" s="697"/>
      <c r="D6" s="697"/>
      <c r="E6" s="564"/>
      <c r="F6" s="565">
        <f>F7+F23</f>
        <v>1644059340</v>
      </c>
      <c r="G6" s="763"/>
      <c r="I6" s="566"/>
    </row>
    <row r="7" spans="1:9" ht="39" customHeight="1">
      <c r="A7" s="558" t="s">
        <v>352</v>
      </c>
      <c r="B7" s="567" t="s">
        <v>353</v>
      </c>
      <c r="C7" s="558"/>
      <c r="D7" s="568"/>
      <c r="E7" s="568"/>
      <c r="F7" s="565">
        <f>F8+F13+F14</f>
        <v>1452147340</v>
      </c>
      <c r="G7" s="569"/>
      <c r="I7" s="566"/>
    </row>
    <row r="8" spans="1:9" ht="39" customHeight="1">
      <c r="A8" s="570" t="s">
        <v>354</v>
      </c>
      <c r="B8" s="571" t="s">
        <v>377</v>
      </c>
      <c r="C8" s="572">
        <f>SUM(C9:C12)</f>
        <v>4797.8</v>
      </c>
      <c r="D8" s="570"/>
      <c r="E8" s="697"/>
      <c r="F8" s="573">
        <f>SUM(F9:F12)</f>
        <v>280497000</v>
      </c>
      <c r="G8" s="570"/>
      <c r="I8" s="566"/>
    </row>
    <row r="9" spans="1:9" ht="39" customHeight="1">
      <c r="A9" s="574">
        <v>1</v>
      </c>
      <c r="B9" s="575" t="s">
        <v>355</v>
      </c>
      <c r="C9" s="576">
        <f>'pa ms sau 2014'!H8</f>
        <v>1991</v>
      </c>
      <c r="D9" s="574" t="s">
        <v>39</v>
      </c>
      <c r="E9" s="579">
        <v>60000</v>
      </c>
      <c r="F9" s="577">
        <f>C9*E9</f>
        <v>119460000</v>
      </c>
      <c r="G9" s="574"/>
      <c r="I9" s="566"/>
    </row>
    <row r="10" spans="1:9" ht="39" customHeight="1">
      <c r="A10" s="574">
        <v>2</v>
      </c>
      <c r="B10" s="575" t="s">
        <v>356</v>
      </c>
      <c r="C10" s="576">
        <f>'pa ms sau 2014'!I8+'pa ms sau 2014'!M8</f>
        <v>1549.3</v>
      </c>
      <c r="D10" s="574" t="s">
        <v>39</v>
      </c>
      <c r="E10" s="579">
        <v>60000</v>
      </c>
      <c r="F10" s="577">
        <f>C10*E10</f>
        <v>92958000</v>
      </c>
      <c r="G10" s="574"/>
      <c r="I10" s="566"/>
    </row>
    <row r="11" spans="1:9" ht="39" customHeight="1">
      <c r="A11" s="574">
        <v>3</v>
      </c>
      <c r="B11" s="575" t="s">
        <v>369</v>
      </c>
      <c r="C11" s="576">
        <f>'pa ms sau 2014'!J8</f>
        <v>216.7</v>
      </c>
      <c r="D11" s="574" t="s">
        <v>39</v>
      </c>
      <c r="E11" s="579">
        <v>50000</v>
      </c>
      <c r="F11" s="577">
        <f>C11*E11</f>
        <v>10835000</v>
      </c>
      <c r="G11" s="574"/>
      <c r="I11" s="566"/>
    </row>
    <row r="12" spans="1:9" ht="39" customHeight="1">
      <c r="A12" s="574">
        <v>4</v>
      </c>
      <c r="B12" s="575" t="s">
        <v>374</v>
      </c>
      <c r="C12" s="576">
        <f>'pa ms sau 2014'!K8</f>
        <v>1040.8</v>
      </c>
      <c r="D12" s="574" t="s">
        <v>39</v>
      </c>
      <c r="E12" s="579">
        <v>55000</v>
      </c>
      <c r="F12" s="577">
        <f>C12*E12</f>
        <v>57244000</v>
      </c>
      <c r="G12" s="574"/>
      <c r="I12" s="566"/>
    </row>
    <row r="13" spans="1:7" ht="44.25" customHeight="1">
      <c r="A13" s="570" t="s">
        <v>357</v>
      </c>
      <c r="B13" s="952" t="s">
        <v>358</v>
      </c>
      <c r="C13" s="952"/>
      <c r="D13" s="952"/>
      <c r="E13" s="952"/>
      <c r="F13" s="573">
        <f>'pa ms sau 2014'!V8</f>
        <v>83455740</v>
      </c>
      <c r="G13" s="697"/>
    </row>
    <row r="14" spans="1:9" ht="39" customHeight="1">
      <c r="A14" s="570" t="s">
        <v>359</v>
      </c>
      <c r="B14" s="571" t="s">
        <v>407</v>
      </c>
      <c r="C14" s="574"/>
      <c r="D14" s="570"/>
      <c r="E14" s="697"/>
      <c r="F14" s="573">
        <f>SUM(F15:F22)</f>
        <v>1088194600</v>
      </c>
      <c r="G14" s="570"/>
      <c r="I14" s="566"/>
    </row>
    <row r="15" spans="1:9" s="764" customFormat="1" ht="39" customHeight="1">
      <c r="A15" s="574">
        <v>1</v>
      </c>
      <c r="B15" s="575" t="s">
        <v>408</v>
      </c>
      <c r="C15" s="576">
        <f>'pa ms sau 2014'!L8</f>
        <v>2255.7999999999997</v>
      </c>
      <c r="D15" s="574" t="s">
        <v>39</v>
      </c>
      <c r="E15" s="579">
        <v>60000</v>
      </c>
      <c r="F15" s="577">
        <f aca="true" t="shared" si="0" ref="F15:F22">C15*E15</f>
        <v>135347999.99999997</v>
      </c>
      <c r="G15" s="574"/>
      <c r="I15" s="769"/>
    </row>
    <row r="16" spans="1:9" s="764" customFormat="1" ht="42" customHeight="1">
      <c r="A16" s="574">
        <v>2</v>
      </c>
      <c r="B16" s="575" t="s">
        <v>360</v>
      </c>
      <c r="C16" s="576">
        <f>C9+C10</f>
        <v>3540.3</v>
      </c>
      <c r="D16" s="574" t="s">
        <v>39</v>
      </c>
      <c r="E16" s="579">
        <v>10000</v>
      </c>
      <c r="F16" s="577">
        <f t="shared" si="0"/>
        <v>35403000</v>
      </c>
      <c r="G16" s="579"/>
      <c r="I16" s="769"/>
    </row>
    <row r="17" spans="1:9" s="764" customFormat="1" ht="42" customHeight="1">
      <c r="A17" s="574">
        <v>3</v>
      </c>
      <c r="B17" s="575" t="s">
        <v>370</v>
      </c>
      <c r="C17" s="576">
        <f>C11</f>
        <v>216.7</v>
      </c>
      <c r="D17" s="574" t="s">
        <v>39</v>
      </c>
      <c r="E17" s="579">
        <v>10000</v>
      </c>
      <c r="F17" s="577">
        <f t="shared" si="0"/>
        <v>2167000</v>
      </c>
      <c r="G17" s="579"/>
      <c r="I17" s="769"/>
    </row>
    <row r="18" spans="1:9" s="764" customFormat="1" ht="42" customHeight="1">
      <c r="A18" s="574">
        <v>4</v>
      </c>
      <c r="B18" s="575" t="s">
        <v>375</v>
      </c>
      <c r="C18" s="576">
        <f>C12</f>
        <v>1040.8</v>
      </c>
      <c r="D18" s="574" t="s">
        <v>38</v>
      </c>
      <c r="E18" s="579">
        <v>7000</v>
      </c>
      <c r="F18" s="577">
        <f t="shared" si="0"/>
        <v>7285600</v>
      </c>
      <c r="G18" s="579"/>
      <c r="I18" s="769"/>
    </row>
    <row r="19" spans="1:9" s="764" customFormat="1" ht="42" customHeight="1">
      <c r="A19" s="574">
        <v>5</v>
      </c>
      <c r="B19" s="575" t="s">
        <v>361</v>
      </c>
      <c r="C19" s="576">
        <f>C16</f>
        <v>3540.3</v>
      </c>
      <c r="D19" s="574" t="s">
        <v>39</v>
      </c>
      <c r="E19" s="579">
        <v>180000</v>
      </c>
      <c r="F19" s="577">
        <f t="shared" si="0"/>
        <v>637254000</v>
      </c>
      <c r="G19" s="579"/>
      <c r="I19" s="769"/>
    </row>
    <row r="20" spans="1:9" s="764" customFormat="1" ht="42" customHeight="1">
      <c r="A20" s="574">
        <v>6</v>
      </c>
      <c r="B20" s="575" t="s">
        <v>362</v>
      </c>
      <c r="C20" s="576">
        <f>C18</f>
        <v>1040.8</v>
      </c>
      <c r="D20" s="574" t="s">
        <v>39</v>
      </c>
      <c r="E20" s="579">
        <v>165000</v>
      </c>
      <c r="F20" s="577">
        <f t="shared" si="0"/>
        <v>171732000</v>
      </c>
      <c r="G20" s="579"/>
      <c r="I20" s="769"/>
    </row>
    <row r="21" spans="1:9" s="764" customFormat="1" ht="42" customHeight="1">
      <c r="A21" s="574">
        <v>7</v>
      </c>
      <c r="B21" s="575" t="s">
        <v>376</v>
      </c>
      <c r="C21" s="576">
        <f>C17</f>
        <v>216.7</v>
      </c>
      <c r="D21" s="574" t="s">
        <v>39</v>
      </c>
      <c r="E21" s="579">
        <v>150000</v>
      </c>
      <c r="F21" s="577">
        <f t="shared" si="0"/>
        <v>32505000</v>
      </c>
      <c r="G21" s="579"/>
      <c r="I21" s="769"/>
    </row>
    <row r="22" spans="1:7" s="764" customFormat="1" ht="42" customHeight="1">
      <c r="A22" s="574">
        <v>8</v>
      </c>
      <c r="B22" s="578" t="s">
        <v>363</v>
      </c>
      <c r="C22" s="579">
        <f>'pa ms sau 2014'!Z8</f>
        <v>19</v>
      </c>
      <c r="D22" s="574" t="s">
        <v>364</v>
      </c>
      <c r="E22" s="579">
        <v>3500000</v>
      </c>
      <c r="F22" s="577">
        <f t="shared" si="0"/>
        <v>66500000</v>
      </c>
      <c r="G22" s="579"/>
    </row>
    <row r="23" spans="1:7" ht="39" customHeight="1">
      <c r="A23" s="570" t="s">
        <v>365</v>
      </c>
      <c r="B23" s="571" t="s">
        <v>391</v>
      </c>
      <c r="C23" s="698"/>
      <c r="D23" s="574"/>
      <c r="E23" s="579"/>
      <c r="F23" s="573">
        <f>F24</f>
        <v>191912000</v>
      </c>
      <c r="G23" s="579"/>
    </row>
    <row r="24" spans="1:7" ht="39" customHeight="1">
      <c r="A24" s="574">
        <v>1</v>
      </c>
      <c r="B24" s="575" t="s">
        <v>366</v>
      </c>
      <c r="C24" s="576">
        <f>C8</f>
        <v>4797.8</v>
      </c>
      <c r="D24" s="574" t="s">
        <v>39</v>
      </c>
      <c r="E24" s="579">
        <v>40000</v>
      </c>
      <c r="F24" s="577">
        <f>C24*E24</f>
        <v>191912000</v>
      </c>
      <c r="G24" s="579"/>
    </row>
  </sheetData>
  <sheetProtection/>
  <mergeCells count="5">
    <mergeCell ref="A1:G1"/>
    <mergeCell ref="A2:G2"/>
    <mergeCell ref="A3:G3"/>
    <mergeCell ref="A6:B6"/>
    <mergeCell ref="B13:E13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8">
      <selection activeCell="B25" sqref="B25"/>
    </sheetView>
  </sheetViews>
  <sheetFormatPr defaultColWidth="9.140625" defaultRowHeight="12.75"/>
  <cols>
    <col min="1" max="1" width="8.8515625" style="787" customWidth="1"/>
    <col min="2" max="2" width="42.8515625" style="787" customWidth="1"/>
    <col min="3" max="4" width="8.28125" style="787" customWidth="1"/>
    <col min="5" max="5" width="10.28125" style="787" customWidth="1"/>
    <col min="6" max="6" width="10.57421875" style="787" customWidth="1"/>
    <col min="7" max="7" width="17.00390625" style="787" customWidth="1"/>
    <col min="8" max="8" width="11.7109375" style="787" customWidth="1"/>
    <col min="9" max="9" width="15.28125" style="787" customWidth="1"/>
    <col min="10" max="10" width="19.28125" style="787" customWidth="1"/>
    <col min="11" max="11" width="16.421875" style="788" customWidth="1"/>
    <col min="12" max="13" width="8.8515625" style="787" customWidth="1"/>
    <col min="14" max="14" width="17.8515625" style="787" hidden="1" customWidth="1"/>
    <col min="15" max="19" width="0" style="787" hidden="1" customWidth="1"/>
    <col min="20" max="16384" width="8.8515625" style="787" customWidth="1"/>
  </cols>
  <sheetData>
    <row r="1" spans="1:12" s="305" customFormat="1" ht="29.25" customHeight="1">
      <c r="A1" s="953" t="s">
        <v>410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</row>
    <row r="2" spans="1:12" s="305" customFormat="1" ht="26.25" customHeight="1">
      <c r="A2" s="954" t="s">
        <v>190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</row>
    <row r="3" spans="1:12" s="305" customFormat="1" ht="23.25" customHeight="1">
      <c r="A3" s="953" t="s">
        <v>349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</row>
    <row r="4" spans="1:12" s="305" customFormat="1" ht="24.75" customHeight="1">
      <c r="A4" s="955" t="s">
        <v>444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</row>
    <row r="5" spans="1:12" s="771" customFormat="1" ht="53.25" customHeight="1">
      <c r="A5" s="956" t="s">
        <v>136</v>
      </c>
      <c r="B5" s="956" t="s">
        <v>137</v>
      </c>
      <c r="C5" s="956" t="s">
        <v>139</v>
      </c>
      <c r="D5" s="956"/>
      <c r="E5" s="956"/>
      <c r="F5" s="956"/>
      <c r="G5" s="956"/>
      <c r="H5" s="956" t="s">
        <v>200</v>
      </c>
      <c r="I5" s="956"/>
      <c r="J5" s="956"/>
      <c r="K5" s="957" t="s">
        <v>191</v>
      </c>
      <c r="L5" s="957" t="s">
        <v>7</v>
      </c>
    </row>
    <row r="6" spans="1:12" s="771" customFormat="1" ht="64.5" customHeight="1">
      <c r="A6" s="956"/>
      <c r="B6" s="956"/>
      <c r="C6" s="772" t="s">
        <v>192</v>
      </c>
      <c r="D6" s="772" t="s">
        <v>141</v>
      </c>
      <c r="E6" s="772" t="s">
        <v>201</v>
      </c>
      <c r="F6" s="772" t="s">
        <v>144</v>
      </c>
      <c r="G6" s="772" t="s">
        <v>9</v>
      </c>
      <c r="H6" s="59" t="s">
        <v>193</v>
      </c>
      <c r="I6" s="59" t="s">
        <v>194</v>
      </c>
      <c r="J6" s="59" t="s">
        <v>21</v>
      </c>
      <c r="K6" s="957"/>
      <c r="L6" s="957"/>
    </row>
    <row r="7" spans="1:12" s="771" customFormat="1" ht="33.75" customHeight="1">
      <c r="A7" s="772" t="s">
        <v>195</v>
      </c>
      <c r="B7" s="773" t="s">
        <v>411</v>
      </c>
      <c r="C7" s="774"/>
      <c r="D7" s="774"/>
      <c r="E7" s="774"/>
      <c r="F7" s="774"/>
      <c r="G7" s="772"/>
      <c r="H7" s="777">
        <f>H8+H21</f>
        <v>4797.8</v>
      </c>
      <c r="I7" s="776"/>
      <c r="J7" s="776">
        <f>J8+J21</f>
        <v>191912000</v>
      </c>
      <c r="K7" s="776">
        <f>K8+K21</f>
        <v>191912000</v>
      </c>
      <c r="L7" s="775"/>
    </row>
    <row r="8" spans="1:12" s="771" customFormat="1" ht="33.75" customHeight="1">
      <c r="A8" s="59" t="s">
        <v>196</v>
      </c>
      <c r="B8" s="789" t="s">
        <v>184</v>
      </c>
      <c r="C8" s="790"/>
      <c r="D8" s="790"/>
      <c r="E8" s="790"/>
      <c r="F8" s="790"/>
      <c r="G8" s="791"/>
      <c r="H8" s="777">
        <f>SUM(H9:H20)</f>
        <v>1766.3</v>
      </c>
      <c r="I8" s="777"/>
      <c r="J8" s="776">
        <f>SUM(J9:J20)</f>
        <v>70652000</v>
      </c>
      <c r="K8" s="776">
        <f>SUM(K9:K20)</f>
        <v>70652000</v>
      </c>
      <c r="L8" s="778"/>
    </row>
    <row r="9" spans="1:12" s="780" customFormat="1" ht="39" customHeight="1">
      <c r="A9" s="95">
        <v>1</v>
      </c>
      <c r="B9" s="784" t="s">
        <v>297</v>
      </c>
      <c r="C9" s="96">
        <v>51</v>
      </c>
      <c r="D9" s="96">
        <v>72</v>
      </c>
      <c r="E9" s="96">
        <v>328.2</v>
      </c>
      <c r="F9" s="96" t="s">
        <v>0</v>
      </c>
      <c r="G9" s="96" t="s">
        <v>43</v>
      </c>
      <c r="H9" s="500">
        <v>92.1</v>
      </c>
      <c r="I9" s="779">
        <v>40000</v>
      </c>
      <c r="J9" s="779">
        <f aca="true" t="shared" si="0" ref="J9:J18">H9*I9</f>
        <v>3684000</v>
      </c>
      <c r="K9" s="782">
        <f aca="true" t="shared" si="1" ref="K9:K18">J9</f>
        <v>3684000</v>
      </c>
      <c r="L9" s="783"/>
    </row>
    <row r="10" spans="1:12" s="780" customFormat="1" ht="39" customHeight="1">
      <c r="A10" s="95">
        <v>2</v>
      </c>
      <c r="B10" s="784" t="s">
        <v>373</v>
      </c>
      <c r="C10" s="96">
        <v>51</v>
      </c>
      <c r="D10" s="96">
        <v>72</v>
      </c>
      <c r="E10" s="96">
        <v>328.2</v>
      </c>
      <c r="F10" s="96" t="s">
        <v>0</v>
      </c>
      <c r="G10" s="96" t="s">
        <v>43</v>
      </c>
      <c r="H10" s="500">
        <v>236.1</v>
      </c>
      <c r="I10" s="779">
        <v>40000</v>
      </c>
      <c r="J10" s="779">
        <f t="shared" si="0"/>
        <v>9444000</v>
      </c>
      <c r="K10" s="782">
        <f t="shared" si="1"/>
        <v>9444000</v>
      </c>
      <c r="L10" s="783"/>
    </row>
    <row r="11" spans="1:12" s="780" customFormat="1" ht="39" customHeight="1">
      <c r="A11" s="95">
        <v>2</v>
      </c>
      <c r="B11" s="784" t="s">
        <v>373</v>
      </c>
      <c r="C11" s="96">
        <v>47</v>
      </c>
      <c r="D11" s="96">
        <v>72</v>
      </c>
      <c r="E11" s="96">
        <v>216.7</v>
      </c>
      <c r="F11" s="96" t="s">
        <v>299</v>
      </c>
      <c r="G11" s="96" t="s">
        <v>43</v>
      </c>
      <c r="H11" s="500">
        <v>216.7</v>
      </c>
      <c r="I11" s="779">
        <v>40000</v>
      </c>
      <c r="J11" s="779">
        <f t="shared" si="0"/>
        <v>8668000</v>
      </c>
      <c r="K11" s="782">
        <f t="shared" si="1"/>
        <v>8668000</v>
      </c>
      <c r="L11" s="783"/>
    </row>
    <row r="12" spans="1:12" s="780" customFormat="1" ht="39" customHeight="1">
      <c r="A12" s="95">
        <v>2</v>
      </c>
      <c r="B12" s="784" t="s">
        <v>373</v>
      </c>
      <c r="C12" s="96">
        <v>157</v>
      </c>
      <c r="D12" s="96">
        <v>72</v>
      </c>
      <c r="E12" s="96">
        <v>524.5</v>
      </c>
      <c r="F12" s="96" t="s">
        <v>45</v>
      </c>
      <c r="G12" s="96" t="s">
        <v>44</v>
      </c>
      <c r="H12" s="500">
        <v>240</v>
      </c>
      <c r="I12" s="779">
        <v>40000</v>
      </c>
      <c r="J12" s="779">
        <f t="shared" si="0"/>
        <v>9600000</v>
      </c>
      <c r="K12" s="782">
        <f t="shared" si="1"/>
        <v>9600000</v>
      </c>
      <c r="L12" s="783"/>
    </row>
    <row r="13" spans="1:12" s="780" customFormat="1" ht="39" customHeight="1">
      <c r="A13" s="95">
        <v>3</v>
      </c>
      <c r="B13" s="784" t="s">
        <v>302</v>
      </c>
      <c r="C13" s="96">
        <v>38</v>
      </c>
      <c r="D13" s="96">
        <v>81</v>
      </c>
      <c r="E13" s="96">
        <v>173.9</v>
      </c>
      <c r="F13" s="96" t="s">
        <v>0</v>
      </c>
      <c r="G13" s="96" t="s">
        <v>37</v>
      </c>
      <c r="H13" s="500">
        <v>173.9</v>
      </c>
      <c r="I13" s="779">
        <v>40000</v>
      </c>
      <c r="J13" s="779">
        <f t="shared" si="0"/>
        <v>6956000</v>
      </c>
      <c r="K13" s="782">
        <f t="shared" si="1"/>
        <v>6956000</v>
      </c>
      <c r="L13" s="783"/>
    </row>
    <row r="14" spans="1:12" s="780" customFormat="1" ht="39" customHeight="1">
      <c r="A14" s="95">
        <v>4</v>
      </c>
      <c r="B14" s="784" t="s">
        <v>303</v>
      </c>
      <c r="C14" s="96">
        <v>17</v>
      </c>
      <c r="D14" s="96">
        <v>81</v>
      </c>
      <c r="E14" s="96">
        <v>261.7</v>
      </c>
      <c r="F14" s="96" t="s">
        <v>0</v>
      </c>
      <c r="G14" s="96" t="s">
        <v>296</v>
      </c>
      <c r="H14" s="500">
        <v>261.7</v>
      </c>
      <c r="I14" s="779">
        <v>40000</v>
      </c>
      <c r="J14" s="779">
        <f t="shared" si="0"/>
        <v>10468000</v>
      </c>
      <c r="K14" s="782">
        <f t="shared" si="1"/>
        <v>10468000</v>
      </c>
      <c r="L14" s="783"/>
    </row>
    <row r="15" spans="1:12" s="780" customFormat="1" ht="39" customHeight="1">
      <c r="A15" s="95">
        <v>5</v>
      </c>
      <c r="B15" s="94" t="s">
        <v>221</v>
      </c>
      <c r="C15" s="96">
        <v>8</v>
      </c>
      <c r="D15" s="96">
        <v>72</v>
      </c>
      <c r="E15" s="96">
        <v>254.7</v>
      </c>
      <c r="F15" s="96" t="s">
        <v>0</v>
      </c>
      <c r="G15" s="96" t="s">
        <v>288</v>
      </c>
      <c r="H15" s="500">
        <v>28.2</v>
      </c>
      <c r="I15" s="779">
        <v>40000</v>
      </c>
      <c r="J15" s="779">
        <f t="shared" si="0"/>
        <v>1128000</v>
      </c>
      <c r="K15" s="782">
        <f t="shared" si="1"/>
        <v>1128000</v>
      </c>
      <c r="L15" s="783"/>
    </row>
    <row r="16" spans="1:12" s="780" customFormat="1" ht="39" customHeight="1">
      <c r="A16" s="95">
        <v>5</v>
      </c>
      <c r="B16" s="94" t="s">
        <v>221</v>
      </c>
      <c r="C16" s="96">
        <v>213</v>
      </c>
      <c r="D16" s="96">
        <v>72</v>
      </c>
      <c r="E16" s="96">
        <v>328.1</v>
      </c>
      <c r="F16" s="96" t="s">
        <v>45</v>
      </c>
      <c r="G16" s="96" t="s">
        <v>44</v>
      </c>
      <c r="H16" s="500">
        <v>134.3</v>
      </c>
      <c r="I16" s="779">
        <v>40000</v>
      </c>
      <c r="J16" s="779">
        <f t="shared" si="0"/>
        <v>5372000</v>
      </c>
      <c r="K16" s="782">
        <f t="shared" si="1"/>
        <v>5372000</v>
      </c>
      <c r="L16" s="783"/>
    </row>
    <row r="17" spans="1:12" s="780" customFormat="1" ht="39" customHeight="1">
      <c r="A17" s="95">
        <v>6</v>
      </c>
      <c r="B17" s="94" t="s">
        <v>316</v>
      </c>
      <c r="C17" s="96">
        <v>213</v>
      </c>
      <c r="D17" s="96">
        <v>72</v>
      </c>
      <c r="E17" s="96">
        <v>328.1</v>
      </c>
      <c r="F17" s="96" t="s">
        <v>45</v>
      </c>
      <c r="G17" s="96" t="s">
        <v>44</v>
      </c>
      <c r="H17" s="500">
        <v>193.8</v>
      </c>
      <c r="I17" s="779">
        <v>40000</v>
      </c>
      <c r="J17" s="779">
        <f t="shared" si="0"/>
        <v>7752000</v>
      </c>
      <c r="K17" s="782">
        <f t="shared" si="1"/>
        <v>7752000</v>
      </c>
      <c r="L17" s="783"/>
    </row>
    <row r="18" spans="1:12" s="780" customFormat="1" ht="39" customHeight="1">
      <c r="A18" s="95">
        <v>6</v>
      </c>
      <c r="B18" s="94" t="s">
        <v>316</v>
      </c>
      <c r="C18" s="96">
        <v>214</v>
      </c>
      <c r="D18" s="96">
        <v>72</v>
      </c>
      <c r="E18" s="96" t="s">
        <v>368</v>
      </c>
      <c r="F18" s="96" t="s">
        <v>315</v>
      </c>
      <c r="G18" s="96" t="s">
        <v>44</v>
      </c>
      <c r="H18" s="500">
        <v>23.6</v>
      </c>
      <c r="I18" s="779">
        <v>40000</v>
      </c>
      <c r="J18" s="779">
        <f t="shared" si="0"/>
        <v>944000</v>
      </c>
      <c r="K18" s="782">
        <f t="shared" si="1"/>
        <v>944000</v>
      </c>
      <c r="L18" s="783"/>
    </row>
    <row r="19" spans="1:12" s="780" customFormat="1" ht="39" customHeight="1">
      <c r="A19" s="95">
        <v>7</v>
      </c>
      <c r="B19" s="94" t="s">
        <v>398</v>
      </c>
      <c r="C19" s="96">
        <v>61</v>
      </c>
      <c r="D19" s="96">
        <v>72</v>
      </c>
      <c r="E19" s="96">
        <v>44.2</v>
      </c>
      <c r="F19" s="96" t="s">
        <v>45</v>
      </c>
      <c r="G19" s="96" t="s">
        <v>43</v>
      </c>
      <c r="H19" s="500">
        <f>E19</f>
        <v>44.2</v>
      </c>
      <c r="I19" s="779">
        <v>40000</v>
      </c>
      <c r="J19" s="779">
        <f>H19*I19</f>
        <v>1768000</v>
      </c>
      <c r="K19" s="782">
        <f>J19</f>
        <v>1768000</v>
      </c>
      <c r="L19" s="783"/>
    </row>
    <row r="20" spans="1:12" s="780" customFormat="1" ht="39" customHeight="1">
      <c r="A20" s="95">
        <v>8</v>
      </c>
      <c r="B20" s="94" t="s">
        <v>394</v>
      </c>
      <c r="C20" s="96">
        <v>121</v>
      </c>
      <c r="D20" s="96">
        <v>71</v>
      </c>
      <c r="E20" s="96">
        <v>121.7</v>
      </c>
      <c r="F20" s="96" t="s">
        <v>396</v>
      </c>
      <c r="G20" s="96" t="s">
        <v>43</v>
      </c>
      <c r="H20" s="500">
        <f>E20</f>
        <v>121.7</v>
      </c>
      <c r="I20" s="779">
        <v>40000</v>
      </c>
      <c r="J20" s="779">
        <f>H20*I20</f>
        <v>4868000</v>
      </c>
      <c r="K20" s="782">
        <f>J20</f>
        <v>4868000</v>
      </c>
      <c r="L20" s="783"/>
    </row>
    <row r="21" spans="1:12" s="780" customFormat="1" ht="39" customHeight="1">
      <c r="A21" s="96"/>
      <c r="B21" s="785" t="s">
        <v>59</v>
      </c>
      <c r="C21" s="96"/>
      <c r="D21" s="96"/>
      <c r="E21" s="786"/>
      <c r="F21" s="96"/>
      <c r="G21" s="500"/>
      <c r="H21" s="843">
        <f>SUM(H22:H34)</f>
        <v>3031.5000000000005</v>
      </c>
      <c r="I21" s="843"/>
      <c r="J21" s="344">
        <f>SUM(J22:J34)</f>
        <v>121260000</v>
      </c>
      <c r="K21" s="344">
        <f>SUM(K22:K34)</f>
        <v>121260000</v>
      </c>
      <c r="L21" s="783"/>
    </row>
    <row r="22" spans="1:12" s="780" customFormat="1" ht="39" customHeight="1">
      <c r="A22" s="95">
        <v>1</v>
      </c>
      <c r="B22" s="94" t="s">
        <v>318</v>
      </c>
      <c r="C22" s="106">
        <v>59</v>
      </c>
      <c r="D22" s="106">
        <v>81</v>
      </c>
      <c r="E22" s="107">
        <v>200.8</v>
      </c>
      <c r="F22" s="106" t="s">
        <v>45</v>
      </c>
      <c r="G22" s="96" t="s">
        <v>37</v>
      </c>
      <c r="H22" s="96">
        <v>200.8</v>
      </c>
      <c r="I22" s="779">
        <v>40000</v>
      </c>
      <c r="J22" s="779">
        <f>H22*I22</f>
        <v>8032000</v>
      </c>
      <c r="K22" s="782">
        <f>J22</f>
        <v>8032000</v>
      </c>
      <c r="L22" s="783"/>
    </row>
    <row r="23" spans="1:12" s="780" customFormat="1" ht="39" customHeight="1">
      <c r="A23" s="95">
        <v>2</v>
      </c>
      <c r="B23" s="94" t="s">
        <v>445</v>
      </c>
      <c r="C23" s="106">
        <v>29</v>
      </c>
      <c r="D23" s="106">
        <v>81</v>
      </c>
      <c r="E23" s="96">
        <v>333.7</v>
      </c>
      <c r="F23" s="106" t="s">
        <v>0</v>
      </c>
      <c r="G23" s="106" t="s">
        <v>296</v>
      </c>
      <c r="H23" s="96">
        <v>333.7</v>
      </c>
      <c r="I23" s="779">
        <v>40000</v>
      </c>
      <c r="J23" s="779">
        <f>H23*I23</f>
        <v>13348000</v>
      </c>
      <c r="K23" s="782">
        <f>J23</f>
        <v>13348000</v>
      </c>
      <c r="L23" s="783"/>
    </row>
    <row r="24" spans="1:12" ht="39" customHeight="1">
      <c r="A24" s="95">
        <v>4</v>
      </c>
      <c r="B24" s="94" t="s">
        <v>319</v>
      </c>
      <c r="C24" s="96">
        <v>108</v>
      </c>
      <c r="D24" s="96">
        <v>81</v>
      </c>
      <c r="E24" s="96">
        <v>567.2</v>
      </c>
      <c r="F24" s="96" t="s">
        <v>0</v>
      </c>
      <c r="G24" s="96" t="s">
        <v>37</v>
      </c>
      <c r="H24" s="96">
        <v>529.6</v>
      </c>
      <c r="I24" s="779">
        <v>40000</v>
      </c>
      <c r="J24" s="779">
        <f aca="true" t="shared" si="2" ref="J24:J34">H24*I24</f>
        <v>21184000</v>
      </c>
      <c r="K24" s="782">
        <f aca="true" t="shared" si="3" ref="K24:K34">J24</f>
        <v>21184000</v>
      </c>
      <c r="L24" s="783"/>
    </row>
    <row r="25" spans="1:12" ht="39" customHeight="1">
      <c r="A25" s="95">
        <v>4</v>
      </c>
      <c r="B25" s="94" t="s">
        <v>319</v>
      </c>
      <c r="C25" s="96">
        <v>79</v>
      </c>
      <c r="D25" s="96">
        <v>81</v>
      </c>
      <c r="E25" s="96">
        <v>186.7</v>
      </c>
      <c r="F25" s="96" t="s">
        <v>45</v>
      </c>
      <c r="G25" s="96" t="s">
        <v>321</v>
      </c>
      <c r="H25" s="109">
        <v>145.9</v>
      </c>
      <c r="I25" s="779">
        <v>40000</v>
      </c>
      <c r="J25" s="779">
        <f t="shared" si="2"/>
        <v>5836000</v>
      </c>
      <c r="K25" s="782">
        <f t="shared" si="3"/>
        <v>5836000</v>
      </c>
      <c r="L25" s="783"/>
    </row>
    <row r="26" spans="1:12" ht="39" customHeight="1">
      <c r="A26" s="95">
        <v>5</v>
      </c>
      <c r="B26" s="94" t="s">
        <v>319</v>
      </c>
      <c r="C26" s="96">
        <v>73</v>
      </c>
      <c r="D26" s="96">
        <v>81</v>
      </c>
      <c r="E26" s="96">
        <v>439.8</v>
      </c>
      <c r="F26" s="96" t="s">
        <v>45</v>
      </c>
      <c r="G26" s="96" t="s">
        <v>37</v>
      </c>
      <c r="H26" s="96">
        <v>80</v>
      </c>
      <c r="I26" s="779">
        <v>40000</v>
      </c>
      <c r="J26" s="779">
        <f t="shared" si="2"/>
        <v>3200000</v>
      </c>
      <c r="K26" s="782">
        <f t="shared" si="3"/>
        <v>3200000</v>
      </c>
      <c r="L26" s="783"/>
    </row>
    <row r="27" spans="1:12" ht="39" customHeight="1">
      <c r="A27" s="95">
        <v>6</v>
      </c>
      <c r="B27" s="94" t="s">
        <v>320</v>
      </c>
      <c r="C27" s="96">
        <v>58</v>
      </c>
      <c r="D27" s="96">
        <v>81</v>
      </c>
      <c r="E27" s="96">
        <v>126.3</v>
      </c>
      <c r="F27" s="96" t="s">
        <v>45</v>
      </c>
      <c r="G27" s="96" t="s">
        <v>37</v>
      </c>
      <c r="H27" s="96">
        <v>100</v>
      </c>
      <c r="I27" s="779">
        <v>40000</v>
      </c>
      <c r="J27" s="779">
        <f t="shared" si="2"/>
        <v>4000000</v>
      </c>
      <c r="K27" s="782">
        <f t="shared" si="3"/>
        <v>4000000</v>
      </c>
      <c r="L27" s="783"/>
    </row>
    <row r="28" spans="1:12" ht="39" customHeight="1">
      <c r="A28" s="95">
        <v>6</v>
      </c>
      <c r="B28" s="94" t="s">
        <v>320</v>
      </c>
      <c r="C28" s="96">
        <v>73</v>
      </c>
      <c r="D28" s="96">
        <v>81</v>
      </c>
      <c r="E28" s="96">
        <v>439.8</v>
      </c>
      <c r="F28" s="96" t="s">
        <v>45</v>
      </c>
      <c r="G28" s="96" t="s">
        <v>37</v>
      </c>
      <c r="H28" s="96">
        <v>303.4</v>
      </c>
      <c r="I28" s="779">
        <v>40000</v>
      </c>
      <c r="J28" s="779">
        <f t="shared" si="2"/>
        <v>12136000</v>
      </c>
      <c r="K28" s="782">
        <f t="shared" si="3"/>
        <v>12136000</v>
      </c>
      <c r="L28" s="783"/>
    </row>
    <row r="29" spans="1:12" ht="39" customHeight="1">
      <c r="A29" s="95">
        <v>6</v>
      </c>
      <c r="B29" s="94" t="s">
        <v>320</v>
      </c>
      <c r="C29" s="96">
        <v>87</v>
      </c>
      <c r="D29" s="96">
        <v>81</v>
      </c>
      <c r="E29" s="96">
        <v>114.4</v>
      </c>
      <c r="F29" s="96" t="s">
        <v>45</v>
      </c>
      <c r="G29" s="96" t="s">
        <v>37</v>
      </c>
      <c r="H29" s="109">
        <v>1.1</v>
      </c>
      <c r="I29" s="779">
        <v>40000</v>
      </c>
      <c r="J29" s="779">
        <f t="shared" si="2"/>
        <v>44000</v>
      </c>
      <c r="K29" s="782">
        <f t="shared" si="3"/>
        <v>44000</v>
      </c>
      <c r="L29" s="783"/>
    </row>
    <row r="30" spans="1:12" ht="39" customHeight="1">
      <c r="A30" s="95">
        <v>7</v>
      </c>
      <c r="B30" s="94" t="s">
        <v>230</v>
      </c>
      <c r="C30" s="96">
        <v>91</v>
      </c>
      <c r="D30" s="96">
        <v>81</v>
      </c>
      <c r="E30" s="96">
        <v>752.6</v>
      </c>
      <c r="F30" s="96" t="s">
        <v>0</v>
      </c>
      <c r="G30" s="96" t="s">
        <v>37</v>
      </c>
      <c r="H30" s="96">
        <v>699.5</v>
      </c>
      <c r="I30" s="779">
        <v>40000</v>
      </c>
      <c r="J30" s="779">
        <f t="shared" si="2"/>
        <v>27980000</v>
      </c>
      <c r="K30" s="782">
        <f t="shared" si="3"/>
        <v>27980000</v>
      </c>
      <c r="L30" s="783"/>
    </row>
    <row r="31" spans="1:12" ht="39" customHeight="1">
      <c r="A31" s="95">
        <v>7</v>
      </c>
      <c r="B31" s="94" t="s">
        <v>230</v>
      </c>
      <c r="C31" s="96">
        <v>55</v>
      </c>
      <c r="D31" s="96">
        <v>81</v>
      </c>
      <c r="E31" s="96">
        <v>252.3</v>
      </c>
      <c r="F31" s="96" t="s">
        <v>45</v>
      </c>
      <c r="G31" s="96" t="s">
        <v>37</v>
      </c>
      <c r="H31" s="109">
        <v>252.3</v>
      </c>
      <c r="I31" s="779">
        <v>40000</v>
      </c>
      <c r="J31" s="779">
        <f t="shared" si="2"/>
        <v>10092000</v>
      </c>
      <c r="K31" s="782">
        <f t="shared" si="3"/>
        <v>10092000</v>
      </c>
      <c r="L31" s="783"/>
    </row>
    <row r="32" spans="1:12" ht="39" customHeight="1">
      <c r="A32" s="95">
        <v>7</v>
      </c>
      <c r="B32" s="94" t="s">
        <v>230</v>
      </c>
      <c r="C32" s="96">
        <v>75</v>
      </c>
      <c r="D32" s="96">
        <v>81</v>
      </c>
      <c r="E32" s="96">
        <v>183.4</v>
      </c>
      <c r="F32" s="96" t="s">
        <v>45</v>
      </c>
      <c r="G32" s="96" t="s">
        <v>37</v>
      </c>
      <c r="H32" s="109">
        <v>183.4</v>
      </c>
      <c r="I32" s="779">
        <v>40000</v>
      </c>
      <c r="J32" s="779">
        <f t="shared" si="2"/>
        <v>7336000</v>
      </c>
      <c r="K32" s="781">
        <f t="shared" si="3"/>
        <v>7336000</v>
      </c>
      <c r="L32" s="783"/>
    </row>
    <row r="33" spans="1:12" ht="39" customHeight="1">
      <c r="A33" s="95">
        <v>7</v>
      </c>
      <c r="B33" s="94" t="s">
        <v>230</v>
      </c>
      <c r="C33" s="96">
        <v>76</v>
      </c>
      <c r="D33" s="96">
        <v>81</v>
      </c>
      <c r="E33" s="96">
        <v>109.9</v>
      </c>
      <c r="F33" s="96" t="s">
        <v>45</v>
      </c>
      <c r="G33" s="96" t="s">
        <v>37</v>
      </c>
      <c r="H33" s="109">
        <v>91</v>
      </c>
      <c r="I33" s="779">
        <v>40000</v>
      </c>
      <c r="J33" s="779">
        <f t="shared" si="2"/>
        <v>3640000</v>
      </c>
      <c r="K33" s="782">
        <f t="shared" si="3"/>
        <v>3640000</v>
      </c>
      <c r="L33" s="783"/>
    </row>
    <row r="34" spans="1:12" ht="39" customHeight="1">
      <c r="A34" s="95">
        <v>8</v>
      </c>
      <c r="B34" s="784" t="s">
        <v>301</v>
      </c>
      <c r="C34" s="96">
        <v>26</v>
      </c>
      <c r="D34" s="96">
        <v>81</v>
      </c>
      <c r="E34" s="96">
        <v>110.8</v>
      </c>
      <c r="F34" s="96" t="s">
        <v>0</v>
      </c>
      <c r="G34" s="96" t="s">
        <v>37</v>
      </c>
      <c r="H34" s="96">
        <v>110.8</v>
      </c>
      <c r="I34" s="779">
        <v>40000</v>
      </c>
      <c r="J34" s="779">
        <f t="shared" si="2"/>
        <v>4432000</v>
      </c>
      <c r="K34" s="781">
        <f t="shared" si="3"/>
        <v>4432000</v>
      </c>
      <c r="L34" s="783"/>
    </row>
  </sheetData>
  <sheetProtection/>
  <mergeCells count="10">
    <mergeCell ref="A1:L1"/>
    <mergeCell ref="A2:L2"/>
    <mergeCell ref="A3:L3"/>
    <mergeCell ref="A4:L4"/>
    <mergeCell ref="A5:A6"/>
    <mergeCell ref="B5:B6"/>
    <mergeCell ref="C5:G5"/>
    <mergeCell ref="H5:J5"/>
    <mergeCell ref="K5:K6"/>
    <mergeCell ref="L5:L6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AG92"/>
  <sheetViews>
    <sheetView tabSelected="1" view="pageBreakPreview" zoomScale="50" zoomScaleNormal="76" zoomScaleSheetLayoutView="50" zoomScalePageLayoutView="0" workbookViewId="0" topLeftCell="I1">
      <pane ySplit="6" topLeftCell="A7" activePane="bottomLeft" state="frozen"/>
      <selection pane="topLeft" activeCell="A1" sqref="A1"/>
      <selection pane="bottomLeft" activeCell="K4" sqref="K4:T4"/>
    </sheetView>
  </sheetViews>
  <sheetFormatPr defaultColWidth="9.140625" defaultRowHeight="12.75"/>
  <cols>
    <col min="1" max="1" width="12.7109375" style="630" bestFit="1" customWidth="1"/>
    <col min="2" max="2" width="44.7109375" style="631" customWidth="1"/>
    <col min="3" max="4" width="9.7109375" style="388" customWidth="1"/>
    <col min="5" max="5" width="12.7109375" style="388" customWidth="1"/>
    <col min="6" max="6" width="10.28125" style="388" customWidth="1"/>
    <col min="7" max="7" width="17.57421875" style="388" customWidth="1"/>
    <col min="8" max="8" width="12.7109375" style="388" customWidth="1"/>
    <col min="9" max="11" width="16.57421875" style="388" customWidth="1"/>
    <col min="12" max="12" width="12.7109375" style="388" customWidth="1"/>
    <col min="13" max="13" width="17.00390625" style="388" customWidth="1"/>
    <col min="14" max="14" width="13.421875" style="632" customWidth="1"/>
    <col min="15" max="15" width="13.421875" style="388" customWidth="1"/>
    <col min="16" max="16" width="21.140625" style="388" customWidth="1"/>
    <col min="17" max="17" width="21.7109375" style="388" customWidth="1"/>
    <col min="18" max="18" width="19.7109375" style="388" customWidth="1"/>
    <col min="19" max="19" width="13.7109375" style="388" customWidth="1"/>
    <col min="20" max="20" width="14.57421875" style="388" customWidth="1"/>
    <col min="21" max="21" width="16.57421875" style="388" customWidth="1"/>
    <col min="22" max="22" width="22.421875" style="388" customWidth="1"/>
    <col min="23" max="23" width="13.7109375" style="388" customWidth="1"/>
    <col min="24" max="24" width="19.28125" style="388" customWidth="1"/>
    <col min="25" max="25" width="22.8515625" style="388" customWidth="1"/>
    <col min="26" max="26" width="9.7109375" style="632" customWidth="1"/>
    <col min="27" max="27" width="19.28125" style="512" customWidth="1"/>
    <col min="28" max="28" width="21.7109375" style="630" customWidth="1"/>
    <col min="29" max="29" width="22.00390625" style="630" customWidth="1"/>
    <col min="30" max="30" width="17.140625" style="388" customWidth="1"/>
    <col min="31" max="33" width="9.140625" style="512" customWidth="1"/>
    <col min="34" max="16384" width="9.140625" style="388" customWidth="1"/>
  </cols>
  <sheetData>
    <row r="1" spans="1:30" ht="31.5" customHeight="1">
      <c r="A1" s="958" t="s">
        <v>400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</row>
    <row r="2" spans="1:30" ht="31.5" customHeight="1">
      <c r="A2" s="958" t="s">
        <v>48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</row>
    <row r="3" spans="1:30" ht="31.5" customHeight="1">
      <c r="A3" s="958" t="s">
        <v>402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</row>
    <row r="4" spans="1:30" ht="31.5" customHeight="1">
      <c r="A4" s="760"/>
      <c r="B4" s="760"/>
      <c r="C4" s="760"/>
      <c r="D4" s="760"/>
      <c r="E4" s="760"/>
      <c r="F4" s="760"/>
      <c r="G4" s="760"/>
      <c r="H4" s="760"/>
      <c r="I4" s="760"/>
      <c r="J4" s="760"/>
      <c r="K4" s="962" t="s">
        <v>446</v>
      </c>
      <c r="L4" s="962"/>
      <c r="M4" s="962"/>
      <c r="N4" s="962"/>
      <c r="O4" s="962"/>
      <c r="P4" s="962"/>
      <c r="Q4" s="962"/>
      <c r="R4" s="962"/>
      <c r="S4" s="962"/>
      <c r="T4" s="962"/>
      <c r="U4" s="760"/>
      <c r="V4" s="760"/>
      <c r="W4" s="760"/>
      <c r="X4" s="760"/>
      <c r="Y4" s="760"/>
      <c r="Z4" s="760"/>
      <c r="AA4" s="760"/>
      <c r="AB4" s="760"/>
      <c r="AC4" s="760"/>
      <c r="AD4" s="760"/>
    </row>
    <row r="5" spans="1:30" ht="137.25" customHeight="1">
      <c r="A5" s="959" t="s">
        <v>136</v>
      </c>
      <c r="B5" s="959" t="s">
        <v>8</v>
      </c>
      <c r="C5" s="961" t="s">
        <v>27</v>
      </c>
      <c r="D5" s="961"/>
      <c r="E5" s="961"/>
      <c r="F5" s="961"/>
      <c r="G5" s="959" t="s">
        <v>9</v>
      </c>
      <c r="H5" s="963" t="s">
        <v>148</v>
      </c>
      <c r="I5" s="964"/>
      <c r="J5" s="964"/>
      <c r="K5" s="964"/>
      <c r="L5" s="965"/>
      <c r="M5" s="770" t="s">
        <v>392</v>
      </c>
      <c r="N5" s="959" t="s">
        <v>14</v>
      </c>
      <c r="O5" s="976" t="s">
        <v>15</v>
      </c>
      <c r="P5" s="966" t="s">
        <v>22</v>
      </c>
      <c r="Q5" s="967"/>
      <c r="R5" s="966" t="s">
        <v>10</v>
      </c>
      <c r="S5" s="980"/>
      <c r="T5" s="980"/>
      <c r="U5" s="980"/>
      <c r="V5" s="980"/>
      <c r="W5" s="967"/>
      <c r="X5" s="975" t="s">
        <v>24</v>
      </c>
      <c r="Y5" s="975"/>
      <c r="Z5" s="975"/>
      <c r="AA5" s="975"/>
      <c r="AB5" s="968" t="s">
        <v>16</v>
      </c>
      <c r="AC5" s="970" t="s">
        <v>17</v>
      </c>
      <c r="AD5" s="961" t="s">
        <v>7</v>
      </c>
    </row>
    <row r="6" spans="1:30" ht="292.5" customHeight="1">
      <c r="A6" s="960"/>
      <c r="B6" s="960"/>
      <c r="C6" s="745" t="s">
        <v>247</v>
      </c>
      <c r="D6" s="745" t="s">
        <v>248</v>
      </c>
      <c r="E6" s="622" t="s">
        <v>4</v>
      </c>
      <c r="F6" s="745" t="s">
        <v>18</v>
      </c>
      <c r="G6" s="960"/>
      <c r="H6" s="746" t="s">
        <v>202</v>
      </c>
      <c r="I6" s="746" t="s">
        <v>146</v>
      </c>
      <c r="J6" s="746" t="s">
        <v>294</v>
      </c>
      <c r="K6" s="746" t="s">
        <v>292</v>
      </c>
      <c r="L6" s="759" t="s">
        <v>403</v>
      </c>
      <c r="M6" s="746" t="s">
        <v>146</v>
      </c>
      <c r="N6" s="960"/>
      <c r="O6" s="977"/>
      <c r="P6" s="746" t="s">
        <v>12</v>
      </c>
      <c r="Q6" s="623" t="s">
        <v>21</v>
      </c>
      <c r="R6" s="747" t="s">
        <v>11</v>
      </c>
      <c r="S6" s="625" t="s">
        <v>20</v>
      </c>
      <c r="T6" s="747" t="s">
        <v>19</v>
      </c>
      <c r="U6" s="747" t="s">
        <v>12</v>
      </c>
      <c r="V6" s="626" t="s">
        <v>13</v>
      </c>
      <c r="W6" s="626" t="s">
        <v>286</v>
      </c>
      <c r="X6" s="626" t="s">
        <v>28</v>
      </c>
      <c r="Y6" s="626" t="s">
        <v>295</v>
      </c>
      <c r="Z6" s="626" t="s">
        <v>25</v>
      </c>
      <c r="AA6" s="747" t="s">
        <v>23</v>
      </c>
      <c r="AB6" s="969"/>
      <c r="AC6" s="971"/>
      <c r="AD6" s="961"/>
    </row>
    <row r="7" spans="1:30" ht="21.75" customHeight="1">
      <c r="A7" s="627">
        <v>1</v>
      </c>
      <c r="B7" s="628">
        <v>2</v>
      </c>
      <c r="C7" s="627">
        <v>3</v>
      </c>
      <c r="D7" s="627">
        <v>4</v>
      </c>
      <c r="E7" s="627">
        <v>5</v>
      </c>
      <c r="F7" s="627">
        <v>6</v>
      </c>
      <c r="G7" s="627">
        <v>7</v>
      </c>
      <c r="H7" s="627"/>
      <c r="I7" s="627"/>
      <c r="J7" s="627"/>
      <c r="K7" s="627"/>
      <c r="L7" s="627"/>
      <c r="M7" s="627"/>
      <c r="N7" s="627">
        <v>11</v>
      </c>
      <c r="O7" s="627">
        <v>12</v>
      </c>
      <c r="P7" s="627">
        <v>14</v>
      </c>
      <c r="Q7" s="627">
        <v>15</v>
      </c>
      <c r="R7" s="627">
        <v>17</v>
      </c>
      <c r="S7" s="627">
        <v>18</v>
      </c>
      <c r="T7" s="627">
        <v>19</v>
      </c>
      <c r="U7" s="627">
        <v>20</v>
      </c>
      <c r="V7" s="627">
        <v>21</v>
      </c>
      <c r="W7" s="627"/>
      <c r="X7" s="627">
        <v>22</v>
      </c>
      <c r="Y7" s="627">
        <v>23</v>
      </c>
      <c r="Z7" s="627">
        <v>25</v>
      </c>
      <c r="AA7" s="627">
        <v>26</v>
      </c>
      <c r="AB7" s="629">
        <v>27</v>
      </c>
      <c r="AC7" s="627">
        <v>28</v>
      </c>
      <c r="AD7" s="627">
        <v>29</v>
      </c>
    </row>
    <row r="8" spans="1:33" s="640" customFormat="1" ht="84" customHeight="1">
      <c r="A8" s="978"/>
      <c r="B8" s="979"/>
      <c r="C8" s="634"/>
      <c r="D8" s="634"/>
      <c r="E8" s="634"/>
      <c r="F8" s="634"/>
      <c r="G8" s="634"/>
      <c r="H8" s="635">
        <f aca="true" t="shared" si="0" ref="H8:O8">H9+H27</f>
        <v>1991</v>
      </c>
      <c r="I8" s="635">
        <f t="shared" si="0"/>
        <v>1548.5</v>
      </c>
      <c r="J8" s="635">
        <f t="shared" si="0"/>
        <v>216.7</v>
      </c>
      <c r="K8" s="635">
        <f t="shared" si="0"/>
        <v>1040.8</v>
      </c>
      <c r="L8" s="635">
        <f t="shared" si="0"/>
        <v>2255.7999999999997</v>
      </c>
      <c r="M8" s="635">
        <f t="shared" si="0"/>
        <v>0.8</v>
      </c>
      <c r="N8" s="635">
        <f t="shared" si="0"/>
        <v>7053.6</v>
      </c>
      <c r="O8" s="635">
        <f t="shared" si="0"/>
        <v>7053.6</v>
      </c>
      <c r="P8" s="636"/>
      <c r="Q8" s="636">
        <f>Q9+Q27</f>
        <v>280497000</v>
      </c>
      <c r="R8" s="635"/>
      <c r="S8" s="635"/>
      <c r="T8" s="635"/>
      <c r="U8" s="636"/>
      <c r="V8" s="636">
        <f>V9+V27</f>
        <v>83455740</v>
      </c>
      <c r="W8" s="636"/>
      <c r="X8" s="636">
        <f aca="true" t="shared" si="1" ref="X8:AC8">X9+X27</f>
        <v>44855600</v>
      </c>
      <c r="Y8" s="636">
        <f t="shared" si="1"/>
        <v>841491000</v>
      </c>
      <c r="Z8" s="636">
        <f t="shared" si="1"/>
        <v>19</v>
      </c>
      <c r="AA8" s="636">
        <f t="shared" si="1"/>
        <v>66500000</v>
      </c>
      <c r="AB8" s="636">
        <f t="shared" si="1"/>
        <v>1452147340</v>
      </c>
      <c r="AC8" s="636">
        <f t="shared" si="1"/>
        <v>1452147340</v>
      </c>
      <c r="AD8" s="634"/>
      <c r="AE8" s="638"/>
      <c r="AF8" s="638"/>
      <c r="AG8" s="638"/>
    </row>
    <row r="9" spans="1:33" s="645" customFormat="1" ht="84" customHeight="1">
      <c r="A9" s="749" t="s">
        <v>397</v>
      </c>
      <c r="B9" s="641" t="s">
        <v>41</v>
      </c>
      <c r="C9" s="749"/>
      <c r="D9" s="749"/>
      <c r="E9" s="642"/>
      <c r="F9" s="749"/>
      <c r="G9" s="754"/>
      <c r="H9" s="754">
        <f aca="true" t="shared" si="2" ref="H9:O9">SUM(H10:H26)</f>
        <v>1047.3</v>
      </c>
      <c r="I9" s="762">
        <f t="shared" si="2"/>
        <v>379.79999999999995</v>
      </c>
      <c r="J9" s="762">
        <f t="shared" si="2"/>
        <v>216.7</v>
      </c>
      <c r="K9" s="762">
        <f t="shared" si="2"/>
        <v>121.7</v>
      </c>
      <c r="L9" s="762">
        <f t="shared" si="2"/>
        <v>2255.7999999999997</v>
      </c>
      <c r="M9" s="762">
        <f t="shared" si="2"/>
        <v>0.8</v>
      </c>
      <c r="N9" s="762">
        <f t="shared" si="2"/>
        <v>4022.0999999999995</v>
      </c>
      <c r="O9" s="762">
        <f t="shared" si="2"/>
        <v>4022.1000000000004</v>
      </c>
      <c r="P9" s="761"/>
      <c r="Q9" s="761">
        <f>SUM(Q10:Q26)</f>
        <v>103202500</v>
      </c>
      <c r="R9" s="761"/>
      <c r="S9" s="762">
        <f>SUM(S10:S26)</f>
        <v>1668.3999999999999</v>
      </c>
      <c r="T9" s="761"/>
      <c r="U9" s="761"/>
      <c r="V9" s="761">
        <f>SUM(V10:V26)</f>
        <v>26242940</v>
      </c>
      <c r="W9" s="761"/>
      <c r="X9" s="761">
        <f aca="true" t="shared" si="3" ref="X9:AC9">SUM(X10:X26)</f>
        <v>17297900</v>
      </c>
      <c r="Y9" s="761">
        <f t="shared" si="3"/>
        <v>309607500</v>
      </c>
      <c r="Z9" s="761">
        <f t="shared" si="3"/>
        <v>5</v>
      </c>
      <c r="AA9" s="761">
        <f t="shared" si="3"/>
        <v>17500000</v>
      </c>
      <c r="AB9" s="761">
        <f t="shared" si="3"/>
        <v>609198840</v>
      </c>
      <c r="AC9" s="761">
        <f t="shared" si="3"/>
        <v>609198840</v>
      </c>
      <c r="AD9" s="643"/>
      <c r="AE9" s="644"/>
      <c r="AF9" s="644"/>
      <c r="AG9" s="644"/>
    </row>
    <row r="10" spans="1:33" s="655" customFormat="1" ht="84" customHeight="1">
      <c r="A10" s="646">
        <v>1</v>
      </c>
      <c r="B10" s="647" t="s">
        <v>297</v>
      </c>
      <c r="C10" s="643">
        <v>51</v>
      </c>
      <c r="D10" s="643">
        <v>72</v>
      </c>
      <c r="E10" s="643">
        <v>328.2</v>
      </c>
      <c r="F10" s="643" t="s">
        <v>0</v>
      </c>
      <c r="G10" s="643" t="s">
        <v>43</v>
      </c>
      <c r="H10" s="648">
        <v>92.1</v>
      </c>
      <c r="I10" s="648"/>
      <c r="J10" s="648"/>
      <c r="K10" s="648"/>
      <c r="L10" s="648"/>
      <c r="M10" s="648"/>
      <c r="N10" s="670">
        <f aca="true" t="shared" si="4" ref="N10:N22">SUM(H10:M10)</f>
        <v>92.1</v>
      </c>
      <c r="O10" s="649">
        <f>N10</f>
        <v>92.1</v>
      </c>
      <c r="P10" s="650">
        <v>60000</v>
      </c>
      <c r="Q10" s="650">
        <f aca="true" t="shared" si="5" ref="Q10:Q16">N10*P10</f>
        <v>5526000</v>
      </c>
      <c r="R10" s="649" t="s">
        <v>30</v>
      </c>
      <c r="S10" s="649">
        <f>N10</f>
        <v>92.1</v>
      </c>
      <c r="T10" s="649" t="s">
        <v>378</v>
      </c>
      <c r="U10" s="650">
        <v>9500</v>
      </c>
      <c r="V10" s="650">
        <f aca="true" t="shared" si="6" ref="V10:V16">S10*U10*W10</f>
        <v>874950</v>
      </c>
      <c r="W10" s="651">
        <v>1</v>
      </c>
      <c r="X10" s="650">
        <f aca="true" t="shared" si="7" ref="X10:X21">N10*10000</f>
        <v>921000</v>
      </c>
      <c r="Y10" s="650">
        <f aca="true" t="shared" si="8" ref="Y10:Y21">N10*P10*3</f>
        <v>16578000</v>
      </c>
      <c r="Z10" s="650">
        <f>INT(O10/176.4)</f>
        <v>0</v>
      </c>
      <c r="AA10" s="652">
        <f>Z10*3500000</f>
        <v>0</v>
      </c>
      <c r="AB10" s="650">
        <f aca="true" t="shared" si="9" ref="AB10:AB23">Q10+V10+X10+Y10+AA10</f>
        <v>23899950</v>
      </c>
      <c r="AC10" s="650">
        <f>AB10</f>
        <v>23899950</v>
      </c>
      <c r="AD10" s="653"/>
      <c r="AE10" s="654"/>
      <c r="AF10" s="654"/>
      <c r="AG10" s="654"/>
    </row>
    <row r="11" spans="1:33" s="655" customFormat="1" ht="84" customHeight="1">
      <c r="A11" s="646">
        <v>2</v>
      </c>
      <c r="B11" s="647" t="s">
        <v>373</v>
      </c>
      <c r="C11" s="643">
        <v>51</v>
      </c>
      <c r="D11" s="643">
        <v>72</v>
      </c>
      <c r="E11" s="643">
        <v>328.2</v>
      </c>
      <c r="F11" s="643" t="s">
        <v>0</v>
      </c>
      <c r="G11" s="643" t="s">
        <v>43</v>
      </c>
      <c r="H11" s="648">
        <v>236.1</v>
      </c>
      <c r="I11" s="648"/>
      <c r="J11" s="648"/>
      <c r="K11" s="648"/>
      <c r="L11" s="648"/>
      <c r="M11" s="648"/>
      <c r="N11" s="670">
        <f t="shared" si="4"/>
        <v>236.1</v>
      </c>
      <c r="O11" s="649">
        <f>SUM(N11:N13)</f>
        <v>692.8</v>
      </c>
      <c r="P11" s="650">
        <v>60000</v>
      </c>
      <c r="Q11" s="650">
        <f t="shared" si="5"/>
        <v>14166000</v>
      </c>
      <c r="R11" s="649" t="s">
        <v>30</v>
      </c>
      <c r="S11" s="649">
        <f>N11</f>
        <v>236.1</v>
      </c>
      <c r="T11" s="649" t="s">
        <v>379</v>
      </c>
      <c r="U11" s="650">
        <v>9500</v>
      </c>
      <c r="V11" s="650">
        <f t="shared" si="6"/>
        <v>2242950</v>
      </c>
      <c r="W11" s="651">
        <v>1</v>
      </c>
      <c r="X11" s="650">
        <f t="shared" si="7"/>
        <v>2361000</v>
      </c>
      <c r="Y11" s="650">
        <f t="shared" si="8"/>
        <v>42498000</v>
      </c>
      <c r="Z11" s="650">
        <f>INT(O11/176.4)</f>
        <v>3</v>
      </c>
      <c r="AA11" s="652">
        <f>Z11*3500000</f>
        <v>10500000</v>
      </c>
      <c r="AB11" s="650">
        <f t="shared" si="9"/>
        <v>71767950</v>
      </c>
      <c r="AC11" s="752">
        <f>SUM(AB11:AB14)</f>
        <v>186848740</v>
      </c>
      <c r="AD11" s="653"/>
      <c r="AE11" s="654"/>
      <c r="AF11" s="654"/>
      <c r="AG11" s="654"/>
    </row>
    <row r="12" spans="1:33" s="655" customFormat="1" ht="84" customHeight="1">
      <c r="A12" s="646">
        <v>2</v>
      </c>
      <c r="B12" s="647" t="s">
        <v>373</v>
      </c>
      <c r="C12" s="643">
        <v>47</v>
      </c>
      <c r="D12" s="643">
        <v>72</v>
      </c>
      <c r="E12" s="643">
        <v>216.7</v>
      </c>
      <c r="F12" s="643" t="s">
        <v>299</v>
      </c>
      <c r="G12" s="643" t="s">
        <v>43</v>
      </c>
      <c r="H12" s="656"/>
      <c r="I12" s="648"/>
      <c r="J12" s="643">
        <v>216.7</v>
      </c>
      <c r="K12" s="643"/>
      <c r="L12" s="643"/>
      <c r="M12" s="643"/>
      <c r="N12" s="670">
        <f t="shared" si="4"/>
        <v>216.7</v>
      </c>
      <c r="O12" s="649"/>
      <c r="P12" s="650">
        <v>50000</v>
      </c>
      <c r="Q12" s="650">
        <f t="shared" si="5"/>
        <v>10835000</v>
      </c>
      <c r="R12" s="657" t="s">
        <v>300</v>
      </c>
      <c r="S12" s="649">
        <f>J12</f>
        <v>216.7</v>
      </c>
      <c r="T12" s="649" t="s">
        <v>378</v>
      </c>
      <c r="U12" s="650">
        <v>13700</v>
      </c>
      <c r="V12" s="650">
        <f t="shared" si="6"/>
        <v>2968790</v>
      </c>
      <c r="W12" s="651">
        <v>1</v>
      </c>
      <c r="X12" s="650">
        <f t="shared" si="7"/>
        <v>2167000</v>
      </c>
      <c r="Y12" s="650">
        <f t="shared" si="8"/>
        <v>32505000</v>
      </c>
      <c r="Z12" s="650">
        <f>INT(O12/176.4)</f>
        <v>0</v>
      </c>
      <c r="AA12" s="652">
        <f>Z12*3500000</f>
        <v>0</v>
      </c>
      <c r="AB12" s="650">
        <f t="shared" si="9"/>
        <v>48475790</v>
      </c>
      <c r="AC12" s="650"/>
      <c r="AD12" s="658"/>
      <c r="AE12" s="654"/>
      <c r="AF12" s="654"/>
      <c r="AG12" s="654"/>
    </row>
    <row r="13" spans="1:33" s="655" customFormat="1" ht="84" customHeight="1">
      <c r="A13" s="646">
        <v>2</v>
      </c>
      <c r="B13" s="647" t="s">
        <v>373</v>
      </c>
      <c r="C13" s="643">
        <v>157</v>
      </c>
      <c r="D13" s="643">
        <v>72</v>
      </c>
      <c r="E13" s="643">
        <v>524.5</v>
      </c>
      <c r="F13" s="643" t="s">
        <v>45</v>
      </c>
      <c r="G13" s="643" t="s">
        <v>44</v>
      </c>
      <c r="H13" s="643">
        <v>240</v>
      </c>
      <c r="I13" s="648"/>
      <c r="J13" s="643"/>
      <c r="K13" s="643"/>
      <c r="L13" s="643"/>
      <c r="M13" s="643"/>
      <c r="N13" s="670">
        <f t="shared" si="4"/>
        <v>240</v>
      </c>
      <c r="O13" s="649"/>
      <c r="P13" s="650">
        <v>60000</v>
      </c>
      <c r="Q13" s="650">
        <f>N13*P13</f>
        <v>14400000</v>
      </c>
      <c r="R13" s="649" t="s">
        <v>30</v>
      </c>
      <c r="S13" s="649">
        <f>N13-S14</f>
        <v>190</v>
      </c>
      <c r="T13" s="649" t="s">
        <v>379</v>
      </c>
      <c r="U13" s="650">
        <v>9500</v>
      </c>
      <c r="V13" s="650">
        <f>S13*U13*W13</f>
        <v>1805000</v>
      </c>
      <c r="W13" s="651">
        <v>1</v>
      </c>
      <c r="X13" s="650">
        <f>N13*10000</f>
        <v>2400000</v>
      </c>
      <c r="Y13" s="650">
        <f>N13*P13*3</f>
        <v>43200000</v>
      </c>
      <c r="Z13" s="650">
        <f>INT(O13/176.4)</f>
        <v>0</v>
      </c>
      <c r="AA13" s="652">
        <f>Z13*3500000</f>
        <v>0</v>
      </c>
      <c r="AB13" s="650">
        <f>Q13+V13+X13+Y13+AA13</f>
        <v>61805000</v>
      </c>
      <c r="AC13" s="752"/>
      <c r="AD13" s="658"/>
      <c r="AE13" s="654"/>
      <c r="AF13" s="654"/>
      <c r="AG13" s="654"/>
    </row>
    <row r="14" spans="1:33" s="655" customFormat="1" ht="84" customHeight="1">
      <c r="A14" s="643"/>
      <c r="B14" s="647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70">
        <f t="shared" si="4"/>
        <v>0</v>
      </c>
      <c r="O14" s="649"/>
      <c r="P14" s="650"/>
      <c r="Q14" s="650"/>
      <c r="R14" s="649" t="s">
        <v>372</v>
      </c>
      <c r="S14" s="649">
        <v>50</v>
      </c>
      <c r="T14" s="649" t="s">
        <v>379</v>
      </c>
      <c r="U14" s="650">
        <v>120000</v>
      </c>
      <c r="V14" s="650">
        <f>S14*U14*W14</f>
        <v>4800000</v>
      </c>
      <c r="W14" s="651">
        <v>0.8</v>
      </c>
      <c r="X14" s="650"/>
      <c r="Y14" s="650"/>
      <c r="Z14" s="650"/>
      <c r="AA14" s="652"/>
      <c r="AB14" s="650">
        <f t="shared" si="9"/>
        <v>4800000</v>
      </c>
      <c r="AC14" s="752"/>
      <c r="AD14" s="658"/>
      <c r="AE14" s="654"/>
      <c r="AF14" s="654"/>
      <c r="AG14" s="654"/>
    </row>
    <row r="15" spans="1:33" s="655" customFormat="1" ht="84" customHeight="1">
      <c r="A15" s="646">
        <v>3</v>
      </c>
      <c r="B15" s="647" t="s">
        <v>302</v>
      </c>
      <c r="C15" s="643">
        <v>38</v>
      </c>
      <c r="D15" s="643">
        <v>81</v>
      </c>
      <c r="E15" s="643">
        <v>173.9</v>
      </c>
      <c r="F15" s="643" t="s">
        <v>0</v>
      </c>
      <c r="G15" s="643" t="s">
        <v>37</v>
      </c>
      <c r="H15" s="656"/>
      <c r="I15" s="648">
        <v>173.9</v>
      </c>
      <c r="J15" s="643"/>
      <c r="K15" s="643"/>
      <c r="L15" s="643"/>
      <c r="M15" s="643"/>
      <c r="N15" s="670">
        <f t="shared" si="4"/>
        <v>173.9</v>
      </c>
      <c r="O15" s="649">
        <f>N15</f>
        <v>173.9</v>
      </c>
      <c r="P15" s="650">
        <v>60000</v>
      </c>
      <c r="Q15" s="650">
        <f t="shared" si="5"/>
        <v>10434000</v>
      </c>
      <c r="R15" s="649" t="s">
        <v>30</v>
      </c>
      <c r="S15" s="649">
        <f aca="true" t="shared" si="10" ref="S15:S20">N15</f>
        <v>173.9</v>
      </c>
      <c r="T15" s="649" t="s">
        <v>379</v>
      </c>
      <c r="U15" s="650">
        <v>9500</v>
      </c>
      <c r="V15" s="650">
        <f t="shared" si="6"/>
        <v>1652050</v>
      </c>
      <c r="W15" s="651">
        <v>1</v>
      </c>
      <c r="X15" s="650">
        <f t="shared" si="7"/>
        <v>1739000</v>
      </c>
      <c r="Y15" s="650">
        <f t="shared" si="8"/>
        <v>31302000</v>
      </c>
      <c r="Z15" s="650">
        <f aca="true" t="shared" si="11" ref="Z15:Z21">INT(O15/176.4)</f>
        <v>0</v>
      </c>
      <c r="AA15" s="652">
        <f aca="true" t="shared" si="12" ref="AA15:AA21">Z15*3500000</f>
        <v>0</v>
      </c>
      <c r="AB15" s="650">
        <f t="shared" si="9"/>
        <v>45127050</v>
      </c>
      <c r="AC15" s="752">
        <f>AB15</f>
        <v>45127050</v>
      </c>
      <c r="AD15" s="658"/>
      <c r="AE15" s="654"/>
      <c r="AF15" s="654"/>
      <c r="AG15" s="654"/>
    </row>
    <row r="16" spans="1:33" s="655" customFormat="1" ht="84" customHeight="1">
      <c r="A16" s="646">
        <v>4</v>
      </c>
      <c r="B16" s="647" t="s">
        <v>303</v>
      </c>
      <c r="C16" s="643">
        <v>17</v>
      </c>
      <c r="D16" s="643">
        <v>81</v>
      </c>
      <c r="E16" s="643">
        <v>261.7</v>
      </c>
      <c r="F16" s="643" t="s">
        <v>0</v>
      </c>
      <c r="G16" s="643" t="s">
        <v>296</v>
      </c>
      <c r="H16" s="648">
        <f>E16</f>
        <v>261.7</v>
      </c>
      <c r="I16" s="648"/>
      <c r="J16" s="648"/>
      <c r="K16" s="648"/>
      <c r="L16" s="648"/>
      <c r="M16" s="648"/>
      <c r="N16" s="670">
        <f t="shared" si="4"/>
        <v>261.7</v>
      </c>
      <c r="O16" s="649">
        <f>N16</f>
        <v>261.7</v>
      </c>
      <c r="P16" s="650">
        <v>60000</v>
      </c>
      <c r="Q16" s="650">
        <f t="shared" si="5"/>
        <v>15702000</v>
      </c>
      <c r="R16" s="649" t="s">
        <v>30</v>
      </c>
      <c r="S16" s="649">
        <f t="shared" si="10"/>
        <v>261.7</v>
      </c>
      <c r="T16" s="649" t="s">
        <v>379</v>
      </c>
      <c r="U16" s="650">
        <v>9500</v>
      </c>
      <c r="V16" s="650">
        <f t="shared" si="6"/>
        <v>2486150</v>
      </c>
      <c r="W16" s="651">
        <v>1</v>
      </c>
      <c r="X16" s="650">
        <f t="shared" si="7"/>
        <v>2617000</v>
      </c>
      <c r="Y16" s="650">
        <f t="shared" si="8"/>
        <v>47106000</v>
      </c>
      <c r="Z16" s="650">
        <f t="shared" si="11"/>
        <v>1</v>
      </c>
      <c r="AA16" s="652">
        <f t="shared" si="12"/>
        <v>3500000</v>
      </c>
      <c r="AB16" s="650">
        <f t="shared" si="9"/>
        <v>71411150</v>
      </c>
      <c r="AC16" s="650">
        <f>AB16</f>
        <v>71411150</v>
      </c>
      <c r="AD16" s="658"/>
      <c r="AE16" s="654"/>
      <c r="AF16" s="654"/>
      <c r="AG16" s="654"/>
    </row>
    <row r="17" spans="1:33" s="655" customFormat="1" ht="84" customHeight="1">
      <c r="A17" s="646">
        <v>5</v>
      </c>
      <c r="B17" s="659" t="s">
        <v>221</v>
      </c>
      <c r="C17" s="643">
        <v>8</v>
      </c>
      <c r="D17" s="643">
        <v>72</v>
      </c>
      <c r="E17" s="643">
        <v>254.7</v>
      </c>
      <c r="F17" s="643" t="s">
        <v>0</v>
      </c>
      <c r="G17" s="643" t="s">
        <v>288</v>
      </c>
      <c r="H17" s="643"/>
      <c r="I17" s="643">
        <v>28.2</v>
      </c>
      <c r="J17" s="643"/>
      <c r="K17" s="643"/>
      <c r="L17" s="643"/>
      <c r="M17" s="643"/>
      <c r="N17" s="670">
        <f t="shared" si="4"/>
        <v>28.2</v>
      </c>
      <c r="O17" s="749">
        <f>N17+N18</f>
        <v>162.5</v>
      </c>
      <c r="P17" s="650">
        <v>60000</v>
      </c>
      <c r="Q17" s="650">
        <f aca="true" t="shared" si="13" ref="Q17:Q22">N17*P17</f>
        <v>1692000</v>
      </c>
      <c r="R17" s="649" t="s">
        <v>30</v>
      </c>
      <c r="S17" s="649">
        <f t="shared" si="10"/>
        <v>28.2</v>
      </c>
      <c r="T17" s="649" t="s">
        <v>379</v>
      </c>
      <c r="U17" s="650">
        <v>9500</v>
      </c>
      <c r="V17" s="650">
        <f>S17*U17*W17</f>
        <v>267900</v>
      </c>
      <c r="W17" s="651">
        <v>1</v>
      </c>
      <c r="X17" s="650">
        <f t="shared" si="7"/>
        <v>282000</v>
      </c>
      <c r="Y17" s="650">
        <f t="shared" si="8"/>
        <v>5076000</v>
      </c>
      <c r="Z17" s="650">
        <f t="shared" si="11"/>
        <v>0</v>
      </c>
      <c r="AA17" s="652">
        <f t="shared" si="12"/>
        <v>0</v>
      </c>
      <c r="AB17" s="650">
        <f t="shared" si="9"/>
        <v>7317900</v>
      </c>
      <c r="AC17" s="650">
        <f>AB17+AB18</f>
        <v>42168750</v>
      </c>
      <c r="AD17" s="643"/>
      <c r="AE17" s="654"/>
      <c r="AF17" s="654"/>
      <c r="AG17" s="654"/>
    </row>
    <row r="18" spans="1:33" s="655" customFormat="1" ht="84" customHeight="1">
      <c r="A18" s="646">
        <v>5</v>
      </c>
      <c r="B18" s="659" t="s">
        <v>221</v>
      </c>
      <c r="C18" s="643">
        <v>213</v>
      </c>
      <c r="D18" s="643">
        <v>72</v>
      </c>
      <c r="E18" s="643">
        <v>328.1</v>
      </c>
      <c r="F18" s="643" t="s">
        <v>45</v>
      </c>
      <c r="G18" s="643" t="s">
        <v>44</v>
      </c>
      <c r="H18" s="643"/>
      <c r="I18" s="643">
        <v>134.3</v>
      </c>
      <c r="J18" s="643"/>
      <c r="K18" s="643"/>
      <c r="L18" s="643"/>
      <c r="M18" s="643"/>
      <c r="N18" s="670">
        <f t="shared" si="4"/>
        <v>134.3</v>
      </c>
      <c r="O18" s="750"/>
      <c r="P18" s="650">
        <v>60000</v>
      </c>
      <c r="Q18" s="650">
        <f t="shared" si="13"/>
        <v>8058000.000000001</v>
      </c>
      <c r="R18" s="649" t="s">
        <v>30</v>
      </c>
      <c r="S18" s="649">
        <f t="shared" si="10"/>
        <v>134.3</v>
      </c>
      <c r="T18" s="649" t="s">
        <v>379</v>
      </c>
      <c r="U18" s="650">
        <v>9500</v>
      </c>
      <c r="V18" s="650">
        <f>S18*U18*W18</f>
        <v>1275850</v>
      </c>
      <c r="W18" s="651">
        <v>1</v>
      </c>
      <c r="X18" s="650">
        <f t="shared" si="7"/>
        <v>1343000</v>
      </c>
      <c r="Y18" s="650">
        <f t="shared" si="8"/>
        <v>24174000.000000004</v>
      </c>
      <c r="Z18" s="650">
        <f t="shared" si="11"/>
        <v>0</v>
      </c>
      <c r="AA18" s="652">
        <f t="shared" si="12"/>
        <v>0</v>
      </c>
      <c r="AB18" s="650">
        <f t="shared" si="9"/>
        <v>34850850</v>
      </c>
      <c r="AC18" s="752"/>
      <c r="AD18" s="643"/>
      <c r="AE18" s="654"/>
      <c r="AF18" s="654"/>
      <c r="AG18" s="654"/>
    </row>
    <row r="19" spans="1:33" s="655" customFormat="1" ht="84" customHeight="1">
      <c r="A19" s="646">
        <v>6</v>
      </c>
      <c r="B19" s="659" t="s">
        <v>316</v>
      </c>
      <c r="C19" s="643">
        <v>213</v>
      </c>
      <c r="D19" s="643">
        <v>72</v>
      </c>
      <c r="E19" s="643">
        <v>328.1</v>
      </c>
      <c r="F19" s="643" t="s">
        <v>45</v>
      </c>
      <c r="G19" s="643" t="s">
        <v>44</v>
      </c>
      <c r="H19" s="643">
        <f>217.4-23.6</f>
        <v>193.8</v>
      </c>
      <c r="I19" s="643"/>
      <c r="J19" s="643"/>
      <c r="K19" s="643"/>
      <c r="L19" s="643"/>
      <c r="M19" s="643"/>
      <c r="N19" s="670">
        <f t="shared" si="4"/>
        <v>193.8</v>
      </c>
      <c r="O19" s="749">
        <f>N19+N20</f>
        <v>217.4</v>
      </c>
      <c r="P19" s="650">
        <v>60000</v>
      </c>
      <c r="Q19" s="650">
        <f t="shared" si="13"/>
        <v>11628000</v>
      </c>
      <c r="R19" s="649" t="s">
        <v>30</v>
      </c>
      <c r="S19" s="649">
        <f t="shared" si="10"/>
        <v>193.8</v>
      </c>
      <c r="T19" s="649" t="s">
        <v>379</v>
      </c>
      <c r="U19" s="650">
        <v>9500</v>
      </c>
      <c r="V19" s="650">
        <f>S19*U19*W19</f>
        <v>1841100</v>
      </c>
      <c r="W19" s="651">
        <v>1</v>
      </c>
      <c r="X19" s="650">
        <f t="shared" si="7"/>
        <v>1938000</v>
      </c>
      <c r="Y19" s="650">
        <f t="shared" si="8"/>
        <v>34884000</v>
      </c>
      <c r="Z19" s="650">
        <f t="shared" si="11"/>
        <v>1</v>
      </c>
      <c r="AA19" s="652">
        <f t="shared" si="12"/>
        <v>3500000</v>
      </c>
      <c r="AB19" s="650">
        <f t="shared" si="9"/>
        <v>53791100</v>
      </c>
      <c r="AC19" s="650">
        <f>SUM(AB19:AB20)</f>
        <v>59915300</v>
      </c>
      <c r="AD19" s="643"/>
      <c r="AE19" s="654"/>
      <c r="AF19" s="654"/>
      <c r="AG19" s="654"/>
    </row>
    <row r="20" spans="1:33" s="655" customFormat="1" ht="84" customHeight="1">
      <c r="A20" s="646">
        <v>6</v>
      </c>
      <c r="B20" s="659" t="s">
        <v>316</v>
      </c>
      <c r="C20" s="643">
        <v>214</v>
      </c>
      <c r="D20" s="643">
        <v>72</v>
      </c>
      <c r="E20" s="643" t="s">
        <v>368</v>
      </c>
      <c r="F20" s="643" t="s">
        <v>315</v>
      </c>
      <c r="G20" s="643" t="s">
        <v>44</v>
      </c>
      <c r="H20" s="643">
        <v>23.6</v>
      </c>
      <c r="I20" s="643"/>
      <c r="J20" s="643"/>
      <c r="K20" s="643"/>
      <c r="L20" s="643"/>
      <c r="M20" s="643"/>
      <c r="N20" s="670">
        <f t="shared" si="4"/>
        <v>23.6</v>
      </c>
      <c r="O20" s="750"/>
      <c r="P20" s="650">
        <v>60000</v>
      </c>
      <c r="Q20" s="650">
        <f t="shared" si="13"/>
        <v>1416000</v>
      </c>
      <c r="R20" s="649" t="s">
        <v>30</v>
      </c>
      <c r="S20" s="649">
        <f t="shared" si="10"/>
        <v>23.6</v>
      </c>
      <c r="T20" s="649" t="s">
        <v>379</v>
      </c>
      <c r="U20" s="650">
        <v>9500</v>
      </c>
      <c r="V20" s="650">
        <f>S20*U20*W20</f>
        <v>224200</v>
      </c>
      <c r="W20" s="651">
        <v>1</v>
      </c>
      <c r="X20" s="650">
        <f t="shared" si="7"/>
        <v>236000</v>
      </c>
      <c r="Y20" s="650">
        <f t="shared" si="8"/>
        <v>4248000</v>
      </c>
      <c r="Z20" s="650">
        <f t="shared" si="11"/>
        <v>0</v>
      </c>
      <c r="AA20" s="652">
        <f t="shared" si="12"/>
        <v>0</v>
      </c>
      <c r="AB20" s="650">
        <f t="shared" si="9"/>
        <v>6124200</v>
      </c>
      <c r="AC20" s="752"/>
      <c r="AD20" s="643"/>
      <c r="AE20" s="654"/>
      <c r="AF20" s="654"/>
      <c r="AG20" s="654"/>
    </row>
    <row r="21" spans="1:33" s="655" customFormat="1" ht="84" customHeight="1">
      <c r="A21" s="646">
        <v>7</v>
      </c>
      <c r="B21" s="659" t="s">
        <v>398</v>
      </c>
      <c r="C21" s="643">
        <v>61</v>
      </c>
      <c r="D21" s="643">
        <v>72</v>
      </c>
      <c r="E21" s="643">
        <v>44.2</v>
      </c>
      <c r="F21" s="643" t="s">
        <v>45</v>
      </c>
      <c r="G21" s="643" t="s">
        <v>43</v>
      </c>
      <c r="H21" s="656"/>
      <c r="I21" s="643">
        <v>43.4</v>
      </c>
      <c r="J21" s="643"/>
      <c r="K21" s="643"/>
      <c r="L21" s="643"/>
      <c r="M21" s="643">
        <v>0.8</v>
      </c>
      <c r="N21" s="670">
        <f t="shared" si="4"/>
        <v>44.199999999999996</v>
      </c>
      <c r="O21" s="643">
        <f>N21</f>
        <v>44.199999999999996</v>
      </c>
      <c r="P21" s="650">
        <v>60000</v>
      </c>
      <c r="Q21" s="650">
        <f t="shared" si="13"/>
        <v>2651999.9999999995</v>
      </c>
      <c r="R21" s="649" t="s">
        <v>399</v>
      </c>
      <c r="S21" s="649">
        <v>44</v>
      </c>
      <c r="T21" s="649" t="s">
        <v>379</v>
      </c>
      <c r="U21" s="650">
        <v>43000</v>
      </c>
      <c r="V21" s="650">
        <f>S21*U21*W21</f>
        <v>1892000</v>
      </c>
      <c r="W21" s="651">
        <v>1</v>
      </c>
      <c r="X21" s="650">
        <f t="shared" si="7"/>
        <v>441999.99999999994</v>
      </c>
      <c r="Y21" s="650">
        <f t="shared" si="8"/>
        <v>7955999.999999998</v>
      </c>
      <c r="Z21" s="650">
        <f t="shared" si="11"/>
        <v>0</v>
      </c>
      <c r="AA21" s="652">
        <f t="shared" si="12"/>
        <v>0</v>
      </c>
      <c r="AB21" s="650">
        <f t="shared" si="9"/>
        <v>12941999.999999998</v>
      </c>
      <c r="AC21" s="650">
        <f>AB21</f>
        <v>12941999.999999998</v>
      </c>
      <c r="AD21" s="643"/>
      <c r="AE21" s="654"/>
      <c r="AF21" s="654"/>
      <c r="AG21" s="654"/>
    </row>
    <row r="22" spans="1:33" s="655" customFormat="1" ht="84" customHeight="1">
      <c r="A22" s="646">
        <v>8</v>
      </c>
      <c r="B22" s="659" t="s">
        <v>394</v>
      </c>
      <c r="C22" s="643">
        <v>121</v>
      </c>
      <c r="D22" s="643">
        <v>71</v>
      </c>
      <c r="E22" s="643" t="s">
        <v>395</v>
      </c>
      <c r="F22" s="643" t="s">
        <v>396</v>
      </c>
      <c r="G22" s="643" t="s">
        <v>43</v>
      </c>
      <c r="H22" s="648"/>
      <c r="I22" s="648"/>
      <c r="J22" s="648"/>
      <c r="K22" s="648">
        <v>121.7</v>
      </c>
      <c r="L22" s="648"/>
      <c r="M22" s="648"/>
      <c r="N22" s="670">
        <f t="shared" si="4"/>
        <v>121.7</v>
      </c>
      <c r="O22" s="643">
        <f>N22</f>
        <v>121.7</v>
      </c>
      <c r="P22" s="650">
        <v>55000</v>
      </c>
      <c r="Q22" s="650">
        <f t="shared" si="13"/>
        <v>6693500</v>
      </c>
      <c r="R22" s="643"/>
      <c r="S22" s="673"/>
      <c r="T22" s="649"/>
      <c r="U22" s="650"/>
      <c r="V22" s="650"/>
      <c r="W22" s="651"/>
      <c r="X22" s="650">
        <f>N22*7000</f>
        <v>851900</v>
      </c>
      <c r="Y22" s="650">
        <f>N22*P22*3</f>
        <v>20080500</v>
      </c>
      <c r="Z22" s="650">
        <f>INT(O22/176.4)</f>
        <v>0</v>
      </c>
      <c r="AA22" s="652">
        <f>Z22*3500000</f>
        <v>0</v>
      </c>
      <c r="AB22" s="650">
        <f t="shared" si="9"/>
        <v>27625900</v>
      </c>
      <c r="AC22" s="650">
        <f>SUM(AB22:AB23)</f>
        <v>31537900</v>
      </c>
      <c r="AD22" s="643"/>
      <c r="AE22" s="654"/>
      <c r="AF22" s="654"/>
      <c r="AG22" s="654"/>
    </row>
    <row r="23" spans="1:33" s="655" customFormat="1" ht="84" customHeight="1">
      <c r="A23" s="646"/>
      <c r="B23" s="659"/>
      <c r="C23" s="643"/>
      <c r="D23" s="643"/>
      <c r="E23" s="643"/>
      <c r="F23" s="643"/>
      <c r="G23" s="643"/>
      <c r="H23" s="648"/>
      <c r="I23" s="648"/>
      <c r="J23" s="648"/>
      <c r="K23" s="648"/>
      <c r="L23" s="648"/>
      <c r="M23" s="648"/>
      <c r="N23" s="648"/>
      <c r="O23" s="648"/>
      <c r="P23" s="650"/>
      <c r="Q23" s="650"/>
      <c r="R23" s="643" t="s">
        <v>333</v>
      </c>
      <c r="S23" s="649">
        <v>24</v>
      </c>
      <c r="T23" s="657" t="s">
        <v>268</v>
      </c>
      <c r="U23" s="650">
        <v>163000</v>
      </c>
      <c r="V23" s="650">
        <f>S23*U23*W23</f>
        <v>3912000</v>
      </c>
      <c r="W23" s="651">
        <v>1</v>
      </c>
      <c r="X23" s="650"/>
      <c r="Y23" s="650"/>
      <c r="Z23" s="650"/>
      <c r="AA23" s="652"/>
      <c r="AB23" s="650">
        <f t="shared" si="9"/>
        <v>3912000</v>
      </c>
      <c r="AC23" s="752"/>
      <c r="AD23" s="643"/>
      <c r="AE23" s="654"/>
      <c r="AF23" s="654"/>
      <c r="AG23" s="654"/>
    </row>
    <row r="24" spans="1:33" s="655" customFormat="1" ht="84" customHeight="1">
      <c r="A24" s="444">
        <v>9</v>
      </c>
      <c r="B24" s="508" t="s">
        <v>404</v>
      </c>
      <c r="C24" s="766">
        <v>185</v>
      </c>
      <c r="D24" s="766">
        <v>72</v>
      </c>
      <c r="E24" s="767">
        <v>447.8</v>
      </c>
      <c r="F24" s="766" t="s">
        <v>45</v>
      </c>
      <c r="G24" s="495" t="s">
        <v>405</v>
      </c>
      <c r="H24" s="765"/>
      <c r="I24" s="765"/>
      <c r="J24" s="765"/>
      <c r="K24" s="765"/>
      <c r="L24" s="768">
        <f>E24</f>
        <v>447.8</v>
      </c>
      <c r="M24" s="648"/>
      <c r="N24" s="670">
        <f>SUM(H24:M24)</f>
        <v>447.8</v>
      </c>
      <c r="O24" s="643">
        <f>N24</f>
        <v>447.8</v>
      </c>
      <c r="P24" s="972" t="s">
        <v>406</v>
      </c>
      <c r="Q24" s="973"/>
      <c r="R24" s="973"/>
      <c r="S24" s="973"/>
      <c r="T24" s="973"/>
      <c r="U24" s="973"/>
      <c r="V24" s="973"/>
      <c r="W24" s="973"/>
      <c r="X24" s="973"/>
      <c r="Y24" s="973"/>
      <c r="Z24" s="973"/>
      <c r="AA24" s="974"/>
      <c r="AB24" s="650">
        <f>N24*60000</f>
        <v>26868000</v>
      </c>
      <c r="AC24" s="761">
        <f>AB24</f>
        <v>26868000</v>
      </c>
      <c r="AD24" s="643"/>
      <c r="AE24" s="654"/>
      <c r="AF24" s="654"/>
      <c r="AG24" s="654"/>
    </row>
    <row r="25" spans="1:33" s="655" customFormat="1" ht="84" customHeight="1">
      <c r="A25" s="444">
        <v>9</v>
      </c>
      <c r="B25" s="508" t="s">
        <v>404</v>
      </c>
      <c r="C25" s="495">
        <v>116</v>
      </c>
      <c r="D25" s="495">
        <v>71</v>
      </c>
      <c r="E25" s="767">
        <v>1595.8</v>
      </c>
      <c r="F25" s="495" t="s">
        <v>45</v>
      </c>
      <c r="G25" s="495" t="s">
        <v>68</v>
      </c>
      <c r="H25" s="765"/>
      <c r="I25" s="765"/>
      <c r="J25" s="765"/>
      <c r="K25" s="765"/>
      <c r="L25" s="768">
        <f>E25</f>
        <v>1595.8</v>
      </c>
      <c r="M25" s="648"/>
      <c r="N25" s="670">
        <f>SUM(H25:M25)</f>
        <v>1595.8</v>
      </c>
      <c r="O25" s="643">
        <f>N25</f>
        <v>1595.8</v>
      </c>
      <c r="P25" s="972" t="s">
        <v>406</v>
      </c>
      <c r="Q25" s="973"/>
      <c r="R25" s="973"/>
      <c r="S25" s="973"/>
      <c r="T25" s="973"/>
      <c r="U25" s="973"/>
      <c r="V25" s="973"/>
      <c r="W25" s="973"/>
      <c r="X25" s="973"/>
      <c r="Y25" s="973"/>
      <c r="Z25" s="973"/>
      <c r="AA25" s="974"/>
      <c r="AB25" s="650">
        <f>N25*60000</f>
        <v>95748000</v>
      </c>
      <c r="AC25" s="761">
        <f>AB25</f>
        <v>95748000</v>
      </c>
      <c r="AD25" s="643"/>
      <c r="AE25" s="654"/>
      <c r="AF25" s="654"/>
      <c r="AG25" s="654"/>
    </row>
    <row r="26" spans="1:33" s="655" customFormat="1" ht="84" customHeight="1">
      <c r="A26" s="444">
        <v>9</v>
      </c>
      <c r="B26" s="508" t="s">
        <v>404</v>
      </c>
      <c r="C26" s="495">
        <v>28</v>
      </c>
      <c r="D26" s="495">
        <v>61</v>
      </c>
      <c r="E26" s="495">
        <v>225.1</v>
      </c>
      <c r="F26" s="495" t="s">
        <v>0</v>
      </c>
      <c r="G26" s="495" t="s">
        <v>68</v>
      </c>
      <c r="H26" s="765"/>
      <c r="I26" s="765"/>
      <c r="J26" s="765"/>
      <c r="K26" s="765"/>
      <c r="L26" s="495">
        <v>212.2</v>
      </c>
      <c r="M26" s="648"/>
      <c r="N26" s="670">
        <f>SUM(H26:M26)</f>
        <v>212.2</v>
      </c>
      <c r="O26" s="643">
        <f>N26</f>
        <v>212.2</v>
      </c>
      <c r="P26" s="972" t="s">
        <v>406</v>
      </c>
      <c r="Q26" s="973"/>
      <c r="R26" s="973"/>
      <c r="S26" s="973"/>
      <c r="T26" s="973"/>
      <c r="U26" s="973"/>
      <c r="V26" s="973"/>
      <c r="W26" s="973"/>
      <c r="X26" s="973"/>
      <c r="Y26" s="973"/>
      <c r="Z26" s="973"/>
      <c r="AA26" s="974"/>
      <c r="AB26" s="650">
        <f>N26*60000</f>
        <v>12732000</v>
      </c>
      <c r="AC26" s="761">
        <f>AB26</f>
        <v>12732000</v>
      </c>
      <c r="AD26" s="643"/>
      <c r="AE26" s="654"/>
      <c r="AF26" s="654"/>
      <c r="AG26" s="654"/>
    </row>
    <row r="27" spans="1:33" s="645" customFormat="1" ht="93" customHeight="1">
      <c r="A27" s="643" t="s">
        <v>287</v>
      </c>
      <c r="B27" s="660" t="s">
        <v>59</v>
      </c>
      <c r="C27" s="643"/>
      <c r="D27" s="643"/>
      <c r="E27" s="661"/>
      <c r="F27" s="643"/>
      <c r="G27" s="649"/>
      <c r="H27" s="635">
        <f>SUM(H28:H62)</f>
        <v>943.7</v>
      </c>
      <c r="I27" s="635">
        <f>SUM(I28:I62)</f>
        <v>1168.7</v>
      </c>
      <c r="J27" s="635"/>
      <c r="K27" s="635">
        <f>SUM(K28:K62)</f>
        <v>919.1</v>
      </c>
      <c r="L27" s="635"/>
      <c r="M27" s="635"/>
      <c r="N27" s="635">
        <f>SUM(N28:N62)</f>
        <v>3031.5000000000005</v>
      </c>
      <c r="O27" s="635">
        <f>SUM(O28:O62)</f>
        <v>3031.5</v>
      </c>
      <c r="P27" s="635"/>
      <c r="Q27" s="639">
        <f>SUM(Q28:Q62)</f>
        <v>177294500</v>
      </c>
      <c r="R27" s="639"/>
      <c r="S27" s="639"/>
      <c r="T27" s="639"/>
      <c r="U27" s="639"/>
      <c r="V27" s="639">
        <f aca="true" t="shared" si="14" ref="V27:AC27">SUM(V28:V62)</f>
        <v>57212800</v>
      </c>
      <c r="W27" s="639">
        <f t="shared" si="14"/>
        <v>19</v>
      </c>
      <c r="X27" s="639">
        <f t="shared" si="14"/>
        <v>27557700</v>
      </c>
      <c r="Y27" s="639">
        <f t="shared" si="14"/>
        <v>531883500</v>
      </c>
      <c r="Z27" s="639">
        <f t="shared" si="14"/>
        <v>14</v>
      </c>
      <c r="AA27" s="639">
        <f t="shared" si="14"/>
        <v>49000000</v>
      </c>
      <c r="AB27" s="639">
        <f t="shared" si="14"/>
        <v>842948500</v>
      </c>
      <c r="AC27" s="639">
        <f t="shared" si="14"/>
        <v>842948500</v>
      </c>
      <c r="AD27" s="643"/>
      <c r="AE27" s="644"/>
      <c r="AF27" s="644"/>
      <c r="AG27" s="644"/>
    </row>
    <row r="28" spans="1:33" s="655" customFormat="1" ht="93" customHeight="1">
      <c r="A28" s="646">
        <v>1</v>
      </c>
      <c r="B28" s="659" t="s">
        <v>318</v>
      </c>
      <c r="C28" s="662">
        <v>59</v>
      </c>
      <c r="D28" s="662">
        <v>81</v>
      </c>
      <c r="E28" s="648">
        <v>200.8</v>
      </c>
      <c r="F28" s="662" t="s">
        <v>45</v>
      </c>
      <c r="G28" s="643" t="s">
        <v>37</v>
      </c>
      <c r="H28" s="646"/>
      <c r="I28" s="648">
        <v>200.8</v>
      </c>
      <c r="J28" s="648"/>
      <c r="K28" s="648"/>
      <c r="L28" s="648"/>
      <c r="M28" s="648"/>
      <c r="N28" s="643">
        <f>SUM(H28:M28)</f>
        <v>200.8</v>
      </c>
      <c r="O28" s="643">
        <f>N28</f>
        <v>200.8</v>
      </c>
      <c r="P28" s="650">
        <v>60000</v>
      </c>
      <c r="Q28" s="650">
        <f>N28*P28</f>
        <v>12048000</v>
      </c>
      <c r="R28" s="649" t="s">
        <v>30</v>
      </c>
      <c r="S28" s="649">
        <f>N28</f>
        <v>200.8</v>
      </c>
      <c r="T28" s="649" t="s">
        <v>379</v>
      </c>
      <c r="U28" s="650">
        <v>9500</v>
      </c>
      <c r="V28" s="650">
        <f>S28*U28*W28</f>
        <v>1907600</v>
      </c>
      <c r="W28" s="651">
        <v>1</v>
      </c>
      <c r="X28" s="650">
        <f>N28*10000</f>
        <v>2008000</v>
      </c>
      <c r="Y28" s="650">
        <f>N28*P28*3</f>
        <v>36144000</v>
      </c>
      <c r="Z28" s="650">
        <f>INT(O28/176.4)</f>
        <v>1</v>
      </c>
      <c r="AA28" s="652">
        <f>Z28*3500000</f>
        <v>3500000</v>
      </c>
      <c r="AB28" s="650">
        <f>Q28+V28+X28+Y28+AA28</f>
        <v>55607600</v>
      </c>
      <c r="AC28" s="650">
        <f>AB28</f>
        <v>55607600</v>
      </c>
      <c r="AD28" s="643"/>
      <c r="AE28" s="654"/>
      <c r="AF28" s="654"/>
      <c r="AG28" s="654"/>
    </row>
    <row r="29" spans="1:33" s="655" customFormat="1" ht="93" customHeight="1">
      <c r="A29" s="646">
        <v>2</v>
      </c>
      <c r="B29" s="659" t="s">
        <v>443</v>
      </c>
      <c r="C29" s="748">
        <v>29</v>
      </c>
      <c r="D29" s="748">
        <v>81</v>
      </c>
      <c r="E29" s="749">
        <v>333.7</v>
      </c>
      <c r="F29" s="748" t="s">
        <v>0</v>
      </c>
      <c r="G29" s="748" t="s">
        <v>296</v>
      </c>
      <c r="H29" s="749">
        <v>333.7</v>
      </c>
      <c r="I29" s="792"/>
      <c r="J29" s="792"/>
      <c r="K29" s="751"/>
      <c r="L29" s="758"/>
      <c r="M29" s="751"/>
      <c r="N29" s="749">
        <f>SUM(H29:M29)</f>
        <v>333.7</v>
      </c>
      <c r="O29" s="749">
        <f>N29</f>
        <v>333.7</v>
      </c>
      <c r="P29" s="752">
        <v>60000</v>
      </c>
      <c r="Q29" s="752">
        <f>N29*P29</f>
        <v>20022000</v>
      </c>
      <c r="R29" s="754" t="s">
        <v>30</v>
      </c>
      <c r="S29" s="754">
        <f>N29</f>
        <v>333.7</v>
      </c>
      <c r="T29" s="754" t="s">
        <v>379</v>
      </c>
      <c r="U29" s="752">
        <v>9500</v>
      </c>
      <c r="V29" s="752">
        <f>S29*U29*W29</f>
        <v>3170150</v>
      </c>
      <c r="W29" s="756">
        <v>1</v>
      </c>
      <c r="X29" s="752">
        <f>N29*10000</f>
        <v>3337000</v>
      </c>
      <c r="Y29" s="752">
        <f>N29*P29*3</f>
        <v>60066000</v>
      </c>
      <c r="Z29" s="752">
        <f>INT(O29/176.4)</f>
        <v>1</v>
      </c>
      <c r="AA29" s="755">
        <f>Z29*3500000</f>
        <v>3500000</v>
      </c>
      <c r="AB29" s="793">
        <f>Q29+V29+X29+Y29+AA29</f>
        <v>90095150</v>
      </c>
      <c r="AC29" s="752">
        <f>AB29</f>
        <v>90095150</v>
      </c>
      <c r="AD29" s="643"/>
      <c r="AE29" s="654"/>
      <c r="AF29" s="654"/>
      <c r="AG29" s="654"/>
    </row>
    <row r="30" spans="1:33" s="655" customFormat="1" ht="93" customHeight="1">
      <c r="A30" s="646">
        <v>4</v>
      </c>
      <c r="B30" s="659" t="s">
        <v>319</v>
      </c>
      <c r="C30" s="643">
        <v>108</v>
      </c>
      <c r="D30" s="643">
        <v>81</v>
      </c>
      <c r="E30" s="643">
        <v>567.2</v>
      </c>
      <c r="F30" s="643" t="s">
        <v>0</v>
      </c>
      <c r="G30" s="643" t="s">
        <v>37</v>
      </c>
      <c r="H30" s="646">
        <v>485.3</v>
      </c>
      <c r="I30" s="648">
        <f>529.6-H30</f>
        <v>44.30000000000001</v>
      </c>
      <c r="J30" s="648"/>
      <c r="K30" s="648"/>
      <c r="L30" s="648"/>
      <c r="M30" s="648"/>
      <c r="N30" s="643">
        <f>SUM(H30:M30)</f>
        <v>529.6</v>
      </c>
      <c r="O30" s="749">
        <f>N30+N31+N32</f>
        <v>755.5</v>
      </c>
      <c r="P30" s="650">
        <v>60000</v>
      </c>
      <c r="Q30" s="650">
        <f>N30*P30</f>
        <v>31776000</v>
      </c>
      <c r="R30" s="754" t="s">
        <v>30</v>
      </c>
      <c r="S30" s="649">
        <f>N30</f>
        <v>529.6</v>
      </c>
      <c r="T30" s="649" t="s">
        <v>379</v>
      </c>
      <c r="U30" s="650">
        <v>9500</v>
      </c>
      <c r="V30" s="650">
        <f>S30*U30*W30</f>
        <v>5031200</v>
      </c>
      <c r="W30" s="651">
        <v>1</v>
      </c>
      <c r="X30" s="650">
        <f>N30*10000</f>
        <v>5296000</v>
      </c>
      <c r="Y30" s="650">
        <f>N30*P30*3</f>
        <v>95328000</v>
      </c>
      <c r="Z30" s="650">
        <f>INT(O30/176.4)</f>
        <v>4</v>
      </c>
      <c r="AA30" s="652">
        <f>Z30*3500000</f>
        <v>14000000</v>
      </c>
      <c r="AB30" s="650">
        <f aca="true" t="shared" si="15" ref="AB30:AB38">Q30+V30+X30+Y30+AA30</f>
        <v>151431200</v>
      </c>
      <c r="AC30" s="650">
        <f>SUM(AB30:AB35)</f>
        <v>207737250</v>
      </c>
      <c r="AD30" s="643"/>
      <c r="AE30" s="654"/>
      <c r="AF30" s="654"/>
      <c r="AG30" s="654"/>
    </row>
    <row r="31" spans="1:33" s="655" customFormat="1" ht="93" customHeight="1">
      <c r="A31" s="646">
        <v>4</v>
      </c>
      <c r="B31" s="659" t="s">
        <v>319</v>
      </c>
      <c r="C31" s="643">
        <v>79</v>
      </c>
      <c r="D31" s="643">
        <v>81</v>
      </c>
      <c r="E31" s="643">
        <v>186.7</v>
      </c>
      <c r="F31" s="643" t="s">
        <v>45</v>
      </c>
      <c r="G31" s="643" t="s">
        <v>321</v>
      </c>
      <c r="H31" s="648">
        <f>163.3-38.6</f>
        <v>124.70000000000002</v>
      </c>
      <c r="I31" s="648">
        <f>145.9-H31</f>
        <v>21.19999999999999</v>
      </c>
      <c r="J31" s="648"/>
      <c r="K31" s="648"/>
      <c r="L31" s="648"/>
      <c r="M31" s="648"/>
      <c r="N31" s="670">
        <f>SUM(H31:M31)</f>
        <v>145.9</v>
      </c>
      <c r="O31" s="671"/>
      <c r="P31" s="650">
        <v>60000</v>
      </c>
      <c r="Q31" s="650">
        <f>N31*P31</f>
        <v>8754000</v>
      </c>
      <c r="R31" s="754" t="s">
        <v>30</v>
      </c>
      <c r="S31" s="649">
        <f>N31</f>
        <v>145.9</v>
      </c>
      <c r="T31" s="649" t="s">
        <v>379</v>
      </c>
      <c r="U31" s="650">
        <v>9500</v>
      </c>
      <c r="V31" s="650">
        <f>S31*U31*W31</f>
        <v>1386050</v>
      </c>
      <c r="W31" s="651">
        <v>1</v>
      </c>
      <c r="X31" s="650">
        <f>N31*10000</f>
        <v>1459000</v>
      </c>
      <c r="Y31" s="650">
        <f>N31*P31*3</f>
        <v>26262000</v>
      </c>
      <c r="Z31" s="650">
        <f>INT(O31/176.4)</f>
        <v>0</v>
      </c>
      <c r="AA31" s="652">
        <f>Z31*3500000</f>
        <v>0</v>
      </c>
      <c r="AB31" s="650">
        <f t="shared" si="15"/>
        <v>37861050</v>
      </c>
      <c r="AC31" s="752"/>
      <c r="AD31" s="643"/>
      <c r="AE31" s="654"/>
      <c r="AF31" s="654"/>
      <c r="AG31" s="654"/>
    </row>
    <row r="32" spans="1:33" s="655" customFormat="1" ht="93" customHeight="1">
      <c r="A32" s="646">
        <v>4</v>
      </c>
      <c r="B32" s="659" t="s">
        <v>319</v>
      </c>
      <c r="C32" s="643">
        <v>73</v>
      </c>
      <c r="D32" s="643">
        <v>81</v>
      </c>
      <c r="E32" s="643">
        <v>439.8</v>
      </c>
      <c r="F32" s="643" t="s">
        <v>45</v>
      </c>
      <c r="G32" s="643" t="s">
        <v>37</v>
      </c>
      <c r="H32" s="648"/>
      <c r="I32" s="648"/>
      <c r="J32" s="648"/>
      <c r="K32" s="648">
        <v>80</v>
      </c>
      <c r="L32" s="648"/>
      <c r="M32" s="648"/>
      <c r="N32" s="643">
        <f>SUM(H32:M32)</f>
        <v>80</v>
      </c>
      <c r="O32" s="671"/>
      <c r="P32" s="650">
        <v>55000</v>
      </c>
      <c r="Q32" s="650">
        <f>N32*P32</f>
        <v>4400000</v>
      </c>
      <c r="R32" s="754" t="s">
        <v>30</v>
      </c>
      <c r="S32" s="649">
        <v>30</v>
      </c>
      <c r="T32" s="649" t="s">
        <v>379</v>
      </c>
      <c r="U32" s="650">
        <v>9500</v>
      </c>
      <c r="V32" s="650">
        <f>S32*U32*W32</f>
        <v>285000</v>
      </c>
      <c r="W32" s="651">
        <v>1</v>
      </c>
      <c r="X32" s="650">
        <f>N32*7000</f>
        <v>560000</v>
      </c>
      <c r="Y32" s="650">
        <f>N32*P32*3</f>
        <v>13200000</v>
      </c>
      <c r="Z32" s="650">
        <f aca="true" t="shared" si="16" ref="Z32:Z59">INT(O32/176.4)</f>
        <v>0</v>
      </c>
      <c r="AA32" s="652">
        <f>Z32*3500000</f>
        <v>0</v>
      </c>
      <c r="AB32" s="650">
        <f t="shared" si="15"/>
        <v>18445000</v>
      </c>
      <c r="AC32" s="753"/>
      <c r="AD32" s="643"/>
      <c r="AE32" s="654"/>
      <c r="AF32" s="654"/>
      <c r="AG32" s="654"/>
    </row>
    <row r="33" spans="1:33" s="655" customFormat="1" ht="141" customHeight="1">
      <c r="A33" s="646">
        <v>4</v>
      </c>
      <c r="B33" s="659" t="s">
        <v>319</v>
      </c>
      <c r="C33" s="643"/>
      <c r="D33" s="643"/>
      <c r="E33" s="643"/>
      <c r="F33" s="643"/>
      <c r="G33" s="643"/>
      <c r="H33" s="648"/>
      <c r="I33" s="648"/>
      <c r="J33" s="648"/>
      <c r="K33" s="648"/>
      <c r="L33" s="648"/>
      <c r="M33" s="648"/>
      <c r="N33" s="670"/>
      <c r="O33" s="671"/>
      <c r="P33" s="650"/>
      <c r="Q33" s="650"/>
      <c r="R33" s="643" t="s">
        <v>325</v>
      </c>
      <c r="S33" s="672">
        <f>5.15*8.1</f>
        <v>41.715</v>
      </c>
      <c r="T33" s="649" t="s">
        <v>379</v>
      </c>
      <c r="U33" s="650"/>
      <c r="V33" s="650"/>
      <c r="W33" s="650"/>
      <c r="X33" s="650"/>
      <c r="Y33" s="650"/>
      <c r="Z33" s="650"/>
      <c r="AA33" s="650"/>
      <c r="AB33" s="650">
        <f t="shared" si="15"/>
        <v>0</v>
      </c>
      <c r="AC33" s="752"/>
      <c r="AD33" s="643" t="s">
        <v>401</v>
      </c>
      <c r="AE33" s="654"/>
      <c r="AF33" s="654"/>
      <c r="AG33" s="654"/>
    </row>
    <row r="34" spans="1:33" s="655" customFormat="1" ht="141" customHeight="1">
      <c r="A34" s="646">
        <v>4</v>
      </c>
      <c r="B34" s="659" t="s">
        <v>319</v>
      </c>
      <c r="C34" s="643"/>
      <c r="D34" s="643"/>
      <c r="E34" s="643"/>
      <c r="F34" s="643"/>
      <c r="G34" s="643"/>
      <c r="H34" s="648"/>
      <c r="I34" s="648"/>
      <c r="J34" s="648"/>
      <c r="K34" s="648"/>
      <c r="L34" s="648"/>
      <c r="M34" s="648"/>
      <c r="N34" s="643"/>
      <c r="O34" s="671"/>
      <c r="P34" s="650"/>
      <c r="Q34" s="650"/>
      <c r="R34" s="643" t="s">
        <v>324</v>
      </c>
      <c r="S34" s="672">
        <f>0.45*11.5</f>
        <v>5.175</v>
      </c>
      <c r="T34" s="649" t="s">
        <v>379</v>
      </c>
      <c r="U34" s="650"/>
      <c r="V34" s="650"/>
      <c r="W34" s="651"/>
      <c r="X34" s="650"/>
      <c r="Y34" s="650"/>
      <c r="Z34" s="650"/>
      <c r="AA34" s="652"/>
      <c r="AB34" s="650">
        <f t="shared" si="15"/>
        <v>0</v>
      </c>
      <c r="AC34" s="753"/>
      <c r="AD34" s="643" t="s">
        <v>401</v>
      </c>
      <c r="AE34" s="654"/>
      <c r="AF34" s="654"/>
      <c r="AG34" s="654"/>
    </row>
    <row r="35" spans="1:33" s="655" customFormat="1" ht="141" customHeight="1">
      <c r="A35" s="646">
        <v>4</v>
      </c>
      <c r="B35" s="659" t="s">
        <v>319</v>
      </c>
      <c r="C35" s="643"/>
      <c r="D35" s="643"/>
      <c r="E35" s="643"/>
      <c r="F35" s="643"/>
      <c r="G35" s="643"/>
      <c r="H35" s="648"/>
      <c r="I35" s="648"/>
      <c r="J35" s="648"/>
      <c r="K35" s="648"/>
      <c r="L35" s="648"/>
      <c r="M35" s="648"/>
      <c r="N35" s="670"/>
      <c r="O35" s="750"/>
      <c r="P35" s="650"/>
      <c r="Q35" s="650"/>
      <c r="R35" s="643" t="s">
        <v>326</v>
      </c>
      <c r="S35" s="673">
        <f>11*1.7</f>
        <v>18.7</v>
      </c>
      <c r="T35" s="649" t="s">
        <v>379</v>
      </c>
      <c r="U35" s="650"/>
      <c r="V35" s="650"/>
      <c r="W35" s="651"/>
      <c r="X35" s="650"/>
      <c r="Y35" s="650"/>
      <c r="Z35" s="650"/>
      <c r="AA35" s="652"/>
      <c r="AB35" s="650">
        <f t="shared" si="15"/>
        <v>0</v>
      </c>
      <c r="AC35" s="752"/>
      <c r="AD35" s="643" t="s">
        <v>401</v>
      </c>
      <c r="AE35" s="654"/>
      <c r="AF35" s="654"/>
      <c r="AG35" s="654"/>
    </row>
    <row r="36" spans="1:33" s="655" customFormat="1" ht="93" customHeight="1">
      <c r="A36" s="646">
        <v>5</v>
      </c>
      <c r="B36" s="659" t="s">
        <v>320</v>
      </c>
      <c r="C36" s="643">
        <v>58</v>
      </c>
      <c r="D36" s="643">
        <v>81</v>
      </c>
      <c r="E36" s="643">
        <v>126.3</v>
      </c>
      <c r="F36" s="643" t="s">
        <v>45</v>
      </c>
      <c r="G36" s="643" t="s">
        <v>37</v>
      </c>
      <c r="H36" s="648"/>
      <c r="I36" s="648"/>
      <c r="J36" s="648"/>
      <c r="K36" s="648">
        <v>100</v>
      </c>
      <c r="L36" s="648"/>
      <c r="M36" s="648"/>
      <c r="N36" s="643">
        <f>SUM(H36:M36)</f>
        <v>100</v>
      </c>
      <c r="O36" s="643">
        <f>N36+N38+N45</f>
        <v>404.5</v>
      </c>
      <c r="P36" s="650">
        <v>55000</v>
      </c>
      <c r="Q36" s="650">
        <f>N36*P36</f>
        <v>5500000</v>
      </c>
      <c r="R36" s="643"/>
      <c r="S36" s="673"/>
      <c r="T36" s="649"/>
      <c r="U36" s="650"/>
      <c r="V36" s="650"/>
      <c r="W36" s="651"/>
      <c r="X36" s="650">
        <f>N36*7000</f>
        <v>700000</v>
      </c>
      <c r="Y36" s="650">
        <f>N36*P36*3</f>
        <v>16500000</v>
      </c>
      <c r="Z36" s="650">
        <f>INT(O36/176.4)</f>
        <v>2</v>
      </c>
      <c r="AA36" s="652">
        <f>Z36*3500000</f>
        <v>7000000</v>
      </c>
      <c r="AB36" s="650">
        <f t="shared" si="15"/>
        <v>29700000</v>
      </c>
      <c r="AC36" s="650">
        <f>SUM(AB36:AB45)</f>
        <v>110267250</v>
      </c>
      <c r="AD36" s="643"/>
      <c r="AE36" s="654"/>
      <c r="AF36" s="654"/>
      <c r="AG36" s="654"/>
    </row>
    <row r="37" spans="1:33" s="655" customFormat="1" ht="93" customHeight="1">
      <c r="A37" s="646">
        <v>5</v>
      </c>
      <c r="B37" s="659" t="s">
        <v>320</v>
      </c>
      <c r="C37" s="643"/>
      <c r="D37" s="643"/>
      <c r="E37" s="643"/>
      <c r="F37" s="643"/>
      <c r="G37" s="643"/>
      <c r="H37" s="648"/>
      <c r="I37" s="648"/>
      <c r="J37" s="648"/>
      <c r="K37" s="648"/>
      <c r="L37" s="648"/>
      <c r="M37" s="648"/>
      <c r="N37" s="670"/>
      <c r="O37" s="643"/>
      <c r="P37" s="650"/>
      <c r="Q37" s="650"/>
      <c r="R37" s="643" t="s">
        <v>333</v>
      </c>
      <c r="S37" s="649">
        <v>20</v>
      </c>
      <c r="T37" s="657" t="s">
        <v>268</v>
      </c>
      <c r="U37" s="650">
        <v>163000</v>
      </c>
      <c r="V37" s="650">
        <f>S37*U37*W37</f>
        <v>3260000</v>
      </c>
      <c r="W37" s="651">
        <v>1</v>
      </c>
      <c r="X37" s="650"/>
      <c r="Y37" s="650"/>
      <c r="Z37" s="650"/>
      <c r="AA37" s="652"/>
      <c r="AB37" s="650">
        <f t="shared" si="15"/>
        <v>3260000</v>
      </c>
      <c r="AC37" s="752"/>
      <c r="AD37" s="643"/>
      <c r="AE37" s="654"/>
      <c r="AF37" s="654"/>
      <c r="AG37" s="654"/>
    </row>
    <row r="38" spans="1:33" s="655" customFormat="1" ht="93" customHeight="1">
      <c r="A38" s="646">
        <v>5</v>
      </c>
      <c r="B38" s="659" t="s">
        <v>320</v>
      </c>
      <c r="C38" s="643">
        <v>73</v>
      </c>
      <c r="D38" s="643">
        <v>81</v>
      </c>
      <c r="E38" s="643">
        <v>439.8</v>
      </c>
      <c r="F38" s="643" t="s">
        <v>45</v>
      </c>
      <c r="G38" s="643" t="s">
        <v>37</v>
      </c>
      <c r="H38" s="648"/>
      <c r="I38" s="648"/>
      <c r="J38" s="648"/>
      <c r="K38" s="648">
        <v>303.4</v>
      </c>
      <c r="L38" s="648"/>
      <c r="M38" s="648"/>
      <c r="N38" s="643">
        <f>SUM(H38:M38)</f>
        <v>303.4</v>
      </c>
      <c r="O38" s="643"/>
      <c r="P38" s="650">
        <v>55000</v>
      </c>
      <c r="Q38" s="650">
        <f>N38*P38</f>
        <v>16686999.999999998</v>
      </c>
      <c r="R38" s="649"/>
      <c r="S38" s="649"/>
      <c r="T38" s="649"/>
      <c r="U38" s="650"/>
      <c r="V38" s="650"/>
      <c r="W38" s="651"/>
      <c r="X38" s="650">
        <f>N38*7000</f>
        <v>2123800</v>
      </c>
      <c r="Y38" s="650">
        <f>N38*P38*3</f>
        <v>50060999.99999999</v>
      </c>
      <c r="Z38" s="650">
        <f t="shared" si="16"/>
        <v>0</v>
      </c>
      <c r="AA38" s="652">
        <f>Z38*3500000</f>
        <v>0</v>
      </c>
      <c r="AB38" s="650">
        <f t="shared" si="15"/>
        <v>68871800</v>
      </c>
      <c r="AC38" s="753"/>
      <c r="AD38" s="643"/>
      <c r="AE38" s="654"/>
      <c r="AF38" s="654"/>
      <c r="AG38" s="654"/>
    </row>
    <row r="39" spans="1:33" s="655" customFormat="1" ht="150" customHeight="1">
      <c r="A39" s="646">
        <v>5</v>
      </c>
      <c r="B39" s="659" t="s">
        <v>320</v>
      </c>
      <c r="C39" s="643"/>
      <c r="D39" s="643"/>
      <c r="E39" s="643"/>
      <c r="F39" s="643"/>
      <c r="G39" s="643"/>
      <c r="H39" s="648"/>
      <c r="I39" s="648"/>
      <c r="J39" s="648"/>
      <c r="K39" s="648"/>
      <c r="L39" s="648"/>
      <c r="M39" s="648"/>
      <c r="N39" s="670"/>
      <c r="O39" s="643"/>
      <c r="P39" s="650"/>
      <c r="Q39" s="650"/>
      <c r="R39" s="649" t="s">
        <v>328</v>
      </c>
      <c r="S39" s="649">
        <f>8*4</f>
        <v>32</v>
      </c>
      <c r="T39" s="650" t="s">
        <v>329</v>
      </c>
      <c r="U39" s="650"/>
      <c r="V39" s="650"/>
      <c r="W39" s="651"/>
      <c r="X39" s="650"/>
      <c r="Y39" s="650"/>
      <c r="Z39" s="650">
        <f t="shared" si="16"/>
        <v>0</v>
      </c>
      <c r="AA39" s="652"/>
      <c r="AB39" s="650">
        <f>0</f>
        <v>0</v>
      </c>
      <c r="AC39" s="752"/>
      <c r="AD39" s="643" t="s">
        <v>401</v>
      </c>
      <c r="AE39" s="654"/>
      <c r="AF39" s="654"/>
      <c r="AG39" s="654"/>
    </row>
    <row r="40" spans="1:33" s="655" customFormat="1" ht="150" customHeight="1">
      <c r="A40" s="646">
        <v>5</v>
      </c>
      <c r="B40" s="659" t="s">
        <v>320</v>
      </c>
      <c r="C40" s="643"/>
      <c r="D40" s="643"/>
      <c r="E40" s="643"/>
      <c r="F40" s="643"/>
      <c r="G40" s="643"/>
      <c r="H40" s="648"/>
      <c r="I40" s="648"/>
      <c r="J40" s="648"/>
      <c r="K40" s="648"/>
      <c r="L40" s="648"/>
      <c r="M40" s="648"/>
      <c r="N40" s="643"/>
      <c r="O40" s="643"/>
      <c r="P40" s="650"/>
      <c r="Q40" s="650"/>
      <c r="R40" s="649" t="s">
        <v>330</v>
      </c>
      <c r="S40" s="649">
        <f>1.1*3.5*5.8</f>
        <v>22.330000000000002</v>
      </c>
      <c r="T40" s="650" t="s">
        <v>331</v>
      </c>
      <c r="U40" s="650"/>
      <c r="V40" s="650"/>
      <c r="W40" s="651"/>
      <c r="X40" s="650"/>
      <c r="Y40" s="650"/>
      <c r="Z40" s="650">
        <f>INT(O40/176.4)</f>
        <v>0</v>
      </c>
      <c r="AA40" s="652"/>
      <c r="AB40" s="650">
        <f>V40</f>
        <v>0</v>
      </c>
      <c r="AC40" s="753"/>
      <c r="AD40" s="643" t="s">
        <v>401</v>
      </c>
      <c r="AE40" s="654"/>
      <c r="AF40" s="654"/>
      <c r="AG40" s="654"/>
    </row>
    <row r="41" spans="1:33" s="655" customFormat="1" ht="150" customHeight="1">
      <c r="A41" s="646">
        <v>5</v>
      </c>
      <c r="B41" s="659" t="s">
        <v>320</v>
      </c>
      <c r="C41" s="643"/>
      <c r="D41" s="643"/>
      <c r="E41" s="643"/>
      <c r="F41" s="643"/>
      <c r="G41" s="643"/>
      <c r="H41" s="648"/>
      <c r="I41" s="648"/>
      <c r="J41" s="648"/>
      <c r="K41" s="648"/>
      <c r="L41" s="648"/>
      <c r="M41" s="648"/>
      <c r="N41" s="670"/>
      <c r="O41" s="643"/>
      <c r="P41" s="650"/>
      <c r="Q41" s="650"/>
      <c r="R41" s="643" t="s">
        <v>324</v>
      </c>
      <c r="S41" s="673">
        <v>12</v>
      </c>
      <c r="T41" s="649" t="s">
        <v>379</v>
      </c>
      <c r="U41" s="650"/>
      <c r="V41" s="650"/>
      <c r="W41" s="651"/>
      <c r="X41" s="650"/>
      <c r="Y41" s="650"/>
      <c r="Z41" s="650">
        <f>INT(O41/176.4)</f>
        <v>0</v>
      </c>
      <c r="AA41" s="652"/>
      <c r="AB41" s="650">
        <f>V41</f>
        <v>0</v>
      </c>
      <c r="AC41" s="752"/>
      <c r="AD41" s="643" t="s">
        <v>401</v>
      </c>
      <c r="AE41" s="654"/>
      <c r="AF41" s="654"/>
      <c r="AG41" s="654"/>
    </row>
    <row r="42" spans="1:33" s="655" customFormat="1" ht="150" customHeight="1">
      <c r="A42" s="646">
        <v>5</v>
      </c>
      <c r="B42" s="659" t="s">
        <v>320</v>
      </c>
      <c r="C42" s="643"/>
      <c r="D42" s="643"/>
      <c r="E42" s="643"/>
      <c r="F42" s="643"/>
      <c r="G42" s="643"/>
      <c r="H42" s="648"/>
      <c r="I42" s="648"/>
      <c r="J42" s="648"/>
      <c r="K42" s="648"/>
      <c r="L42" s="648"/>
      <c r="M42" s="648"/>
      <c r="N42" s="643"/>
      <c r="O42" s="643"/>
      <c r="P42" s="650"/>
      <c r="Q42" s="650"/>
      <c r="R42" s="643" t="s">
        <v>332</v>
      </c>
      <c r="S42" s="649">
        <v>36</v>
      </c>
      <c r="T42" s="649" t="s">
        <v>379</v>
      </c>
      <c r="U42" s="650"/>
      <c r="V42" s="650"/>
      <c r="W42" s="651"/>
      <c r="X42" s="650"/>
      <c r="Y42" s="650"/>
      <c r="Z42" s="650">
        <f t="shared" si="16"/>
        <v>0</v>
      </c>
      <c r="AA42" s="652"/>
      <c r="AB42" s="650">
        <f>V42</f>
        <v>0</v>
      </c>
      <c r="AC42" s="753"/>
      <c r="AD42" s="643" t="s">
        <v>401</v>
      </c>
      <c r="AE42" s="654"/>
      <c r="AF42" s="654"/>
      <c r="AG42" s="654"/>
    </row>
    <row r="43" spans="1:33" s="655" customFormat="1" ht="93" customHeight="1">
      <c r="A43" s="646">
        <v>5</v>
      </c>
      <c r="B43" s="659" t="s">
        <v>320</v>
      </c>
      <c r="C43" s="643"/>
      <c r="D43" s="643"/>
      <c r="E43" s="643"/>
      <c r="F43" s="643"/>
      <c r="G43" s="643"/>
      <c r="H43" s="648"/>
      <c r="I43" s="648"/>
      <c r="J43" s="648"/>
      <c r="K43" s="648"/>
      <c r="L43" s="648"/>
      <c r="M43" s="648"/>
      <c r="N43" s="670"/>
      <c r="O43" s="643"/>
      <c r="P43" s="650"/>
      <c r="Q43" s="650"/>
      <c r="R43" s="643" t="s">
        <v>333</v>
      </c>
      <c r="S43" s="649">
        <v>50</v>
      </c>
      <c r="T43" s="657" t="s">
        <v>268</v>
      </c>
      <c r="U43" s="650">
        <v>163000</v>
      </c>
      <c r="V43" s="650">
        <f>S43*U43*W43</f>
        <v>8150000</v>
      </c>
      <c r="W43" s="651">
        <v>1</v>
      </c>
      <c r="X43" s="650"/>
      <c r="Y43" s="650"/>
      <c r="Z43" s="650">
        <f t="shared" si="16"/>
        <v>0</v>
      </c>
      <c r="AA43" s="652"/>
      <c r="AB43" s="650">
        <f>V43</f>
        <v>8150000</v>
      </c>
      <c r="AC43" s="752"/>
      <c r="AD43" s="643"/>
      <c r="AE43" s="654"/>
      <c r="AF43" s="654"/>
      <c r="AG43" s="654"/>
    </row>
    <row r="44" spans="1:33" s="655" customFormat="1" ht="149.25" customHeight="1">
      <c r="A44" s="646">
        <v>5</v>
      </c>
      <c r="B44" s="659" t="s">
        <v>320</v>
      </c>
      <c r="C44" s="643"/>
      <c r="D44" s="643"/>
      <c r="E44" s="643"/>
      <c r="F44" s="643"/>
      <c r="G44" s="643"/>
      <c r="H44" s="648"/>
      <c r="I44" s="648"/>
      <c r="J44" s="648"/>
      <c r="K44" s="648"/>
      <c r="L44" s="648"/>
      <c r="M44" s="648"/>
      <c r="N44" s="643"/>
      <c r="O44" s="643"/>
      <c r="P44" s="650"/>
      <c r="Q44" s="650"/>
      <c r="R44" s="643" t="s">
        <v>334</v>
      </c>
      <c r="S44" s="649">
        <f>3*4.2</f>
        <v>12.600000000000001</v>
      </c>
      <c r="T44" s="649" t="s">
        <v>379</v>
      </c>
      <c r="U44" s="650"/>
      <c r="V44" s="650"/>
      <c r="W44" s="651"/>
      <c r="X44" s="650"/>
      <c r="Y44" s="650"/>
      <c r="Z44" s="650">
        <f t="shared" si="16"/>
        <v>0</v>
      </c>
      <c r="AA44" s="652"/>
      <c r="AB44" s="650">
        <f>V44</f>
        <v>0</v>
      </c>
      <c r="AC44" s="753"/>
      <c r="AD44" s="643" t="s">
        <v>401</v>
      </c>
      <c r="AE44" s="654"/>
      <c r="AF44" s="654"/>
      <c r="AG44" s="654"/>
    </row>
    <row r="45" spans="1:33" s="655" customFormat="1" ht="93" customHeight="1">
      <c r="A45" s="646">
        <v>5</v>
      </c>
      <c r="B45" s="659" t="s">
        <v>320</v>
      </c>
      <c r="C45" s="643">
        <v>87</v>
      </c>
      <c r="D45" s="643">
        <v>81</v>
      </c>
      <c r="E45" s="643">
        <v>114.2</v>
      </c>
      <c r="F45" s="643" t="s">
        <v>45</v>
      </c>
      <c r="G45" s="643" t="s">
        <v>37</v>
      </c>
      <c r="H45" s="656"/>
      <c r="I45" s="648">
        <v>1.1</v>
      </c>
      <c r="J45" s="648"/>
      <c r="K45" s="648"/>
      <c r="L45" s="648"/>
      <c r="M45" s="648"/>
      <c r="N45" s="670">
        <f>SUM(H45:M45)</f>
        <v>1.1</v>
      </c>
      <c r="O45" s="643"/>
      <c r="P45" s="650">
        <v>60000</v>
      </c>
      <c r="Q45" s="650">
        <f>N45*P45</f>
        <v>66000</v>
      </c>
      <c r="R45" s="754" t="s">
        <v>30</v>
      </c>
      <c r="S45" s="649">
        <f>N45</f>
        <v>1.1</v>
      </c>
      <c r="T45" s="649" t="s">
        <v>379</v>
      </c>
      <c r="U45" s="650">
        <v>9500</v>
      </c>
      <c r="V45" s="650">
        <f>S45*U45*W45</f>
        <v>10450</v>
      </c>
      <c r="W45" s="651">
        <v>1</v>
      </c>
      <c r="X45" s="650">
        <f>N45*10000</f>
        <v>11000</v>
      </c>
      <c r="Y45" s="650">
        <f>N45*P45*3</f>
        <v>198000</v>
      </c>
      <c r="Z45" s="650">
        <f t="shared" si="16"/>
        <v>0</v>
      </c>
      <c r="AA45" s="652">
        <f>Z45*3500000</f>
        <v>0</v>
      </c>
      <c r="AB45" s="650">
        <f aca="true" t="shared" si="17" ref="AB45:AB60">Q45+V45+X45+Y45+AA45</f>
        <v>285450</v>
      </c>
      <c r="AC45" s="752"/>
      <c r="AD45" s="643"/>
      <c r="AE45" s="654"/>
      <c r="AF45" s="654"/>
      <c r="AG45" s="654"/>
    </row>
    <row r="46" spans="1:33" s="655" customFormat="1" ht="93" customHeight="1">
      <c r="A46" s="646">
        <v>6</v>
      </c>
      <c r="B46" s="659" t="s">
        <v>230</v>
      </c>
      <c r="C46" s="643">
        <v>91</v>
      </c>
      <c r="D46" s="643">
        <v>81</v>
      </c>
      <c r="E46" s="643">
        <v>752.6</v>
      </c>
      <c r="F46" s="643" t="s">
        <v>0</v>
      </c>
      <c r="G46" s="643" t="s">
        <v>37</v>
      </c>
      <c r="H46" s="656"/>
      <c r="I46" s="643">
        <v>699.5</v>
      </c>
      <c r="J46" s="643"/>
      <c r="K46" s="643"/>
      <c r="L46" s="643"/>
      <c r="M46" s="643"/>
      <c r="N46" s="643">
        <f>SUM(H46:M46)</f>
        <v>699.5</v>
      </c>
      <c r="O46" s="749">
        <f>SUM(N46:N61)</f>
        <v>1226.2</v>
      </c>
      <c r="P46" s="650">
        <v>60000</v>
      </c>
      <c r="Q46" s="650">
        <f>N46*P46</f>
        <v>41970000</v>
      </c>
      <c r="R46" s="754" t="s">
        <v>30</v>
      </c>
      <c r="S46" s="649">
        <f>N46</f>
        <v>699.5</v>
      </c>
      <c r="T46" s="649" t="s">
        <v>379</v>
      </c>
      <c r="U46" s="650">
        <v>9500</v>
      </c>
      <c r="V46" s="650">
        <f>S46*U46*W46</f>
        <v>6645250</v>
      </c>
      <c r="W46" s="651">
        <v>1</v>
      </c>
      <c r="X46" s="650">
        <f>N46*10000</f>
        <v>6995000</v>
      </c>
      <c r="Y46" s="650">
        <f>N46*P46*3</f>
        <v>125910000</v>
      </c>
      <c r="Z46" s="650">
        <f t="shared" si="16"/>
        <v>6</v>
      </c>
      <c r="AA46" s="652">
        <f>Z46*3500000</f>
        <v>21000000</v>
      </c>
      <c r="AB46" s="650">
        <f t="shared" si="17"/>
        <v>202520250</v>
      </c>
      <c r="AC46" s="752">
        <f>SUM(AB46:AB61)</f>
        <v>350488650</v>
      </c>
      <c r="AD46" s="643"/>
      <c r="AE46" s="654"/>
      <c r="AF46" s="654"/>
      <c r="AG46" s="654"/>
    </row>
    <row r="47" spans="1:33" s="655" customFormat="1" ht="152.25" customHeight="1">
      <c r="A47" s="646"/>
      <c r="B47" s="659"/>
      <c r="C47" s="643"/>
      <c r="D47" s="643"/>
      <c r="E47" s="643"/>
      <c r="F47" s="643"/>
      <c r="G47" s="643"/>
      <c r="H47" s="656"/>
      <c r="I47" s="643"/>
      <c r="J47" s="643"/>
      <c r="K47" s="643"/>
      <c r="L47" s="643"/>
      <c r="M47" s="643"/>
      <c r="N47" s="643"/>
      <c r="O47" s="671"/>
      <c r="P47" s="650"/>
      <c r="Q47" s="650"/>
      <c r="R47" s="643" t="s">
        <v>326</v>
      </c>
      <c r="S47" s="649">
        <v>70</v>
      </c>
      <c r="T47" s="649" t="s">
        <v>379</v>
      </c>
      <c r="U47" s="650"/>
      <c r="V47" s="650"/>
      <c r="W47" s="651"/>
      <c r="X47" s="650"/>
      <c r="Y47" s="650"/>
      <c r="Z47" s="650"/>
      <c r="AA47" s="652"/>
      <c r="AB47" s="650">
        <f t="shared" si="17"/>
        <v>0</v>
      </c>
      <c r="AC47" s="744"/>
      <c r="AD47" s="643" t="s">
        <v>401</v>
      </c>
      <c r="AE47" s="654"/>
      <c r="AF47" s="654"/>
      <c r="AG47" s="654"/>
    </row>
    <row r="48" spans="1:33" s="655" customFormat="1" ht="93" customHeight="1">
      <c r="A48" s="646">
        <v>6</v>
      </c>
      <c r="B48" s="659" t="s">
        <v>230</v>
      </c>
      <c r="C48" s="643">
        <v>55</v>
      </c>
      <c r="D48" s="643">
        <v>81</v>
      </c>
      <c r="E48" s="643">
        <v>252.3</v>
      </c>
      <c r="F48" s="643" t="s">
        <v>45</v>
      </c>
      <c r="G48" s="643" t="s">
        <v>37</v>
      </c>
      <c r="H48" s="656"/>
      <c r="I48" s="656"/>
      <c r="J48" s="643"/>
      <c r="K48" s="643">
        <v>252.3</v>
      </c>
      <c r="L48" s="643"/>
      <c r="M48" s="643"/>
      <c r="N48" s="670">
        <f>SUM(H48:M48)</f>
        <v>252.3</v>
      </c>
      <c r="O48" s="674"/>
      <c r="P48" s="650">
        <v>55000</v>
      </c>
      <c r="Q48" s="650">
        <f>N48*P48</f>
        <v>13876500</v>
      </c>
      <c r="R48" s="649"/>
      <c r="S48" s="649"/>
      <c r="T48" s="649"/>
      <c r="U48" s="649"/>
      <c r="V48" s="649"/>
      <c r="W48" s="649"/>
      <c r="X48" s="650">
        <f>N48*7000</f>
        <v>1766100</v>
      </c>
      <c r="Y48" s="650">
        <f>N48*P48*3</f>
        <v>41629500</v>
      </c>
      <c r="Z48" s="650">
        <f t="shared" si="16"/>
        <v>0</v>
      </c>
      <c r="AA48" s="652">
        <f>Z48*3500000</f>
        <v>0</v>
      </c>
      <c r="AB48" s="650">
        <f t="shared" si="17"/>
        <v>57272100</v>
      </c>
      <c r="AC48" s="753"/>
      <c r="AD48" s="643"/>
      <c r="AE48" s="654"/>
      <c r="AF48" s="654"/>
      <c r="AG48" s="654"/>
    </row>
    <row r="49" spans="1:33" s="655" customFormat="1" ht="93" customHeight="1">
      <c r="A49" s="646">
        <v>6</v>
      </c>
      <c r="B49" s="659" t="s">
        <v>230</v>
      </c>
      <c r="C49" s="643">
        <v>55</v>
      </c>
      <c r="D49" s="643">
        <v>81</v>
      </c>
      <c r="E49" s="643">
        <v>252.3</v>
      </c>
      <c r="F49" s="643" t="s">
        <v>45</v>
      </c>
      <c r="G49" s="643" t="s">
        <v>37</v>
      </c>
      <c r="H49" s="656"/>
      <c r="I49" s="643"/>
      <c r="J49" s="643"/>
      <c r="K49" s="643"/>
      <c r="L49" s="643"/>
      <c r="M49" s="643"/>
      <c r="N49" s="643"/>
      <c r="O49" s="674"/>
      <c r="P49" s="650"/>
      <c r="Q49" s="650"/>
      <c r="R49" s="649" t="s">
        <v>335</v>
      </c>
      <c r="S49" s="649">
        <v>14</v>
      </c>
      <c r="T49" s="657" t="s">
        <v>268</v>
      </c>
      <c r="U49" s="650">
        <v>1091000</v>
      </c>
      <c r="V49" s="650">
        <f>S49*U49*W49</f>
        <v>15274000</v>
      </c>
      <c r="W49" s="651">
        <v>1</v>
      </c>
      <c r="X49" s="650"/>
      <c r="Y49" s="650"/>
      <c r="Z49" s="650">
        <f t="shared" si="16"/>
        <v>0</v>
      </c>
      <c r="AA49" s="652"/>
      <c r="AB49" s="650">
        <f t="shared" si="17"/>
        <v>15274000</v>
      </c>
      <c r="AC49" s="753"/>
      <c r="AD49" s="643"/>
      <c r="AE49" s="654"/>
      <c r="AF49" s="654"/>
      <c r="AG49" s="654"/>
    </row>
    <row r="50" spans="1:33" s="655" customFormat="1" ht="93" customHeight="1">
      <c r="A50" s="646">
        <v>6</v>
      </c>
      <c r="B50" s="659" t="s">
        <v>230</v>
      </c>
      <c r="C50" s="643">
        <v>55</v>
      </c>
      <c r="D50" s="643">
        <v>81</v>
      </c>
      <c r="E50" s="643">
        <v>252.3</v>
      </c>
      <c r="F50" s="643" t="s">
        <v>45</v>
      </c>
      <c r="G50" s="643" t="s">
        <v>37</v>
      </c>
      <c r="H50" s="656"/>
      <c r="I50" s="643"/>
      <c r="J50" s="643"/>
      <c r="K50" s="643"/>
      <c r="L50" s="643"/>
      <c r="M50" s="643"/>
      <c r="N50" s="670"/>
      <c r="O50" s="674"/>
      <c r="P50" s="650"/>
      <c r="Q50" s="650"/>
      <c r="R50" s="649" t="s">
        <v>399</v>
      </c>
      <c r="S50" s="649">
        <v>16</v>
      </c>
      <c r="T50" s="649" t="s">
        <v>379</v>
      </c>
      <c r="U50" s="650">
        <v>43000</v>
      </c>
      <c r="V50" s="650">
        <f>S50*U50*W50</f>
        <v>688000</v>
      </c>
      <c r="W50" s="651">
        <v>1</v>
      </c>
      <c r="X50" s="650"/>
      <c r="Y50" s="650"/>
      <c r="Z50" s="650">
        <f t="shared" si="16"/>
        <v>0</v>
      </c>
      <c r="AA50" s="652"/>
      <c r="AB50" s="650">
        <f t="shared" si="17"/>
        <v>688000</v>
      </c>
      <c r="AC50" s="753"/>
      <c r="AD50" s="643"/>
      <c r="AE50" s="654"/>
      <c r="AF50" s="654"/>
      <c r="AG50" s="654"/>
    </row>
    <row r="51" spans="1:33" s="655" customFormat="1" ht="93" customHeight="1">
      <c r="A51" s="646">
        <v>6</v>
      </c>
      <c r="B51" s="659" t="s">
        <v>230</v>
      </c>
      <c r="C51" s="643">
        <v>55</v>
      </c>
      <c r="D51" s="643">
        <v>81</v>
      </c>
      <c r="E51" s="643">
        <v>252.3</v>
      </c>
      <c r="F51" s="643" t="s">
        <v>45</v>
      </c>
      <c r="G51" s="643" t="s">
        <v>37</v>
      </c>
      <c r="H51" s="656"/>
      <c r="I51" s="643"/>
      <c r="J51" s="643"/>
      <c r="K51" s="643"/>
      <c r="L51" s="643"/>
      <c r="M51" s="643"/>
      <c r="N51" s="643"/>
      <c r="O51" s="674"/>
      <c r="P51" s="650"/>
      <c r="Q51" s="650"/>
      <c r="R51" s="657" t="s">
        <v>306</v>
      </c>
      <c r="S51" s="649">
        <v>12</v>
      </c>
      <c r="T51" s="657" t="s">
        <v>307</v>
      </c>
      <c r="U51" s="675">
        <v>87000</v>
      </c>
      <c r="V51" s="650">
        <f>S51*U51*W51</f>
        <v>1044000</v>
      </c>
      <c r="W51" s="651">
        <v>1</v>
      </c>
      <c r="X51" s="650"/>
      <c r="Y51" s="650"/>
      <c r="Z51" s="650">
        <f t="shared" si="16"/>
        <v>0</v>
      </c>
      <c r="AA51" s="652"/>
      <c r="AB51" s="650">
        <f t="shared" si="17"/>
        <v>1044000</v>
      </c>
      <c r="AC51" s="753"/>
      <c r="AD51" s="643"/>
      <c r="AE51" s="654"/>
      <c r="AF51" s="654"/>
      <c r="AG51" s="654"/>
    </row>
    <row r="52" spans="1:33" s="655" customFormat="1" ht="153" customHeight="1">
      <c r="A52" s="646">
        <v>6</v>
      </c>
      <c r="B52" s="659" t="s">
        <v>230</v>
      </c>
      <c r="C52" s="643">
        <v>55</v>
      </c>
      <c r="D52" s="643">
        <v>81</v>
      </c>
      <c r="E52" s="643">
        <v>252.3</v>
      </c>
      <c r="F52" s="643" t="s">
        <v>45</v>
      </c>
      <c r="G52" s="643" t="s">
        <v>37</v>
      </c>
      <c r="H52" s="656"/>
      <c r="I52" s="643"/>
      <c r="J52" s="643"/>
      <c r="K52" s="643"/>
      <c r="L52" s="643"/>
      <c r="M52" s="643"/>
      <c r="N52" s="643"/>
      <c r="O52" s="674"/>
      <c r="P52" s="650"/>
      <c r="Q52" s="650"/>
      <c r="R52" s="657" t="s">
        <v>393</v>
      </c>
      <c r="S52" s="649">
        <f>15*1.7</f>
        <v>25.5</v>
      </c>
      <c r="T52" s="649" t="s">
        <v>379</v>
      </c>
      <c r="U52" s="657"/>
      <c r="V52" s="650"/>
      <c r="W52" s="651"/>
      <c r="X52" s="650"/>
      <c r="Y52" s="650"/>
      <c r="Z52" s="650"/>
      <c r="AA52" s="652"/>
      <c r="AB52" s="650"/>
      <c r="AC52" s="753"/>
      <c r="AD52" s="643" t="s">
        <v>401</v>
      </c>
      <c r="AE52" s="654"/>
      <c r="AF52" s="654"/>
      <c r="AG52" s="654"/>
    </row>
    <row r="53" spans="1:33" s="655" customFormat="1" ht="153" customHeight="1">
      <c r="A53" s="646">
        <v>6</v>
      </c>
      <c r="B53" s="659" t="s">
        <v>230</v>
      </c>
      <c r="C53" s="643">
        <v>75</v>
      </c>
      <c r="D53" s="643">
        <v>81</v>
      </c>
      <c r="E53" s="643">
        <v>183.4</v>
      </c>
      <c r="F53" s="643" t="s">
        <v>45</v>
      </c>
      <c r="G53" s="643" t="s">
        <v>37</v>
      </c>
      <c r="H53" s="656"/>
      <c r="I53" s="643"/>
      <c r="J53" s="643"/>
      <c r="K53" s="643">
        <v>183.4</v>
      </c>
      <c r="L53" s="643"/>
      <c r="M53" s="643"/>
      <c r="N53" s="670">
        <f>SUM(H53:M53)</f>
        <v>183.4</v>
      </c>
      <c r="O53" s="674"/>
      <c r="P53" s="650">
        <v>55000</v>
      </c>
      <c r="Q53" s="650">
        <f>N53*P53</f>
        <v>10087000</v>
      </c>
      <c r="R53" s="649"/>
      <c r="S53" s="649"/>
      <c r="T53" s="649"/>
      <c r="U53" s="650"/>
      <c r="V53" s="650"/>
      <c r="W53" s="651"/>
      <c r="X53" s="650">
        <f>N53*7000</f>
        <v>1283800</v>
      </c>
      <c r="Y53" s="650">
        <f>N53*P53*3</f>
        <v>30261000</v>
      </c>
      <c r="Z53" s="650">
        <f t="shared" si="16"/>
        <v>0</v>
      </c>
      <c r="AA53" s="652">
        <f>Z53*3500000</f>
        <v>0</v>
      </c>
      <c r="AB53" s="650">
        <f t="shared" si="17"/>
        <v>41631800</v>
      </c>
      <c r="AC53" s="753"/>
      <c r="AD53" s="643"/>
      <c r="AE53" s="654"/>
      <c r="AF53" s="654"/>
      <c r="AG53" s="654"/>
    </row>
    <row r="54" spans="1:33" s="655" customFormat="1" ht="153" customHeight="1">
      <c r="A54" s="646"/>
      <c r="B54" s="659"/>
      <c r="C54" s="643"/>
      <c r="D54" s="643"/>
      <c r="E54" s="643"/>
      <c r="F54" s="643"/>
      <c r="G54" s="643"/>
      <c r="H54" s="656"/>
      <c r="I54" s="643"/>
      <c r="J54" s="643"/>
      <c r="K54" s="643"/>
      <c r="L54" s="643"/>
      <c r="M54" s="643"/>
      <c r="N54" s="643"/>
      <c r="O54" s="674"/>
      <c r="P54" s="650"/>
      <c r="Q54" s="650"/>
      <c r="R54" s="649" t="s">
        <v>328</v>
      </c>
      <c r="S54" s="649">
        <f>3.2*9</f>
        <v>28.8</v>
      </c>
      <c r="T54" s="650" t="s">
        <v>329</v>
      </c>
      <c r="U54" s="650"/>
      <c r="V54" s="650"/>
      <c r="W54" s="650"/>
      <c r="X54" s="650"/>
      <c r="Y54" s="650"/>
      <c r="Z54" s="650"/>
      <c r="AA54" s="650"/>
      <c r="AB54" s="650">
        <f t="shared" si="17"/>
        <v>0</v>
      </c>
      <c r="AC54" s="753"/>
      <c r="AD54" s="643" t="s">
        <v>401</v>
      </c>
      <c r="AE54" s="654"/>
      <c r="AF54" s="654"/>
      <c r="AG54" s="654"/>
    </row>
    <row r="55" spans="1:33" s="655" customFormat="1" ht="93" customHeight="1">
      <c r="A55" s="646"/>
      <c r="B55" s="659"/>
      <c r="C55" s="643"/>
      <c r="D55" s="643"/>
      <c r="E55" s="643"/>
      <c r="F55" s="643"/>
      <c r="G55" s="643"/>
      <c r="H55" s="656"/>
      <c r="I55" s="643"/>
      <c r="J55" s="643"/>
      <c r="K55" s="643"/>
      <c r="L55" s="643"/>
      <c r="M55" s="643"/>
      <c r="N55" s="670"/>
      <c r="O55" s="674"/>
      <c r="P55" s="650"/>
      <c r="Q55" s="650"/>
      <c r="R55" s="657" t="s">
        <v>306</v>
      </c>
      <c r="S55" s="649">
        <v>15</v>
      </c>
      <c r="T55" s="657" t="s">
        <v>307</v>
      </c>
      <c r="U55" s="675">
        <v>87000</v>
      </c>
      <c r="V55" s="650">
        <f>S55*U55*W55</f>
        <v>1305000</v>
      </c>
      <c r="W55" s="651">
        <v>1</v>
      </c>
      <c r="X55" s="650"/>
      <c r="Y55" s="650"/>
      <c r="Z55" s="650">
        <f t="shared" si="16"/>
        <v>0</v>
      </c>
      <c r="AA55" s="652"/>
      <c r="AB55" s="650">
        <f t="shared" si="17"/>
        <v>1305000</v>
      </c>
      <c r="AC55" s="753"/>
      <c r="AD55" s="643"/>
      <c r="AE55" s="654"/>
      <c r="AF55" s="654"/>
      <c r="AG55" s="654"/>
    </row>
    <row r="56" spans="1:33" s="655" customFormat="1" ht="93" customHeight="1">
      <c r="A56" s="646"/>
      <c r="B56" s="659"/>
      <c r="C56" s="643"/>
      <c r="D56" s="643"/>
      <c r="E56" s="643"/>
      <c r="F56" s="643"/>
      <c r="G56" s="643"/>
      <c r="H56" s="656"/>
      <c r="I56" s="643"/>
      <c r="J56" s="643"/>
      <c r="K56" s="643"/>
      <c r="L56" s="643"/>
      <c r="M56" s="643"/>
      <c r="N56" s="643"/>
      <c r="O56" s="674"/>
      <c r="P56" s="650"/>
      <c r="Q56" s="650"/>
      <c r="R56" s="649" t="s">
        <v>335</v>
      </c>
      <c r="S56" s="649">
        <v>3</v>
      </c>
      <c r="T56" s="657" t="s">
        <v>268</v>
      </c>
      <c r="U56" s="650">
        <v>1091000</v>
      </c>
      <c r="V56" s="650">
        <f>S56*U56*W56</f>
        <v>3273000</v>
      </c>
      <c r="W56" s="651">
        <v>1</v>
      </c>
      <c r="X56" s="650"/>
      <c r="Y56" s="650"/>
      <c r="Z56" s="650">
        <f t="shared" si="16"/>
        <v>0</v>
      </c>
      <c r="AA56" s="652"/>
      <c r="AB56" s="650">
        <f>Q56+V56+X56+Y56+AA56</f>
        <v>3273000</v>
      </c>
      <c r="AC56" s="753"/>
      <c r="AD56" s="643"/>
      <c r="AE56" s="654"/>
      <c r="AF56" s="654"/>
      <c r="AG56" s="654"/>
    </row>
    <row r="57" spans="1:33" s="655" customFormat="1" ht="99" customHeight="1">
      <c r="A57" s="646"/>
      <c r="B57" s="659"/>
      <c r="C57" s="643"/>
      <c r="D57" s="643"/>
      <c r="E57" s="643"/>
      <c r="F57" s="643"/>
      <c r="G57" s="643"/>
      <c r="H57" s="656"/>
      <c r="I57" s="643"/>
      <c r="J57" s="643"/>
      <c r="K57" s="643"/>
      <c r="L57" s="643"/>
      <c r="M57" s="643"/>
      <c r="N57" s="670"/>
      <c r="O57" s="674"/>
      <c r="P57" s="650"/>
      <c r="Q57" s="650"/>
      <c r="R57" s="649" t="s">
        <v>339</v>
      </c>
      <c r="S57" s="649">
        <v>7</v>
      </c>
      <c r="T57" s="657" t="s">
        <v>268</v>
      </c>
      <c r="U57" s="650">
        <v>163000</v>
      </c>
      <c r="V57" s="650">
        <f>S57*U57*W57</f>
        <v>1141000</v>
      </c>
      <c r="W57" s="651">
        <v>1</v>
      </c>
      <c r="X57" s="650"/>
      <c r="Y57" s="650"/>
      <c r="Z57" s="650">
        <f t="shared" si="16"/>
        <v>0</v>
      </c>
      <c r="AA57" s="652"/>
      <c r="AB57" s="650">
        <f t="shared" si="17"/>
        <v>1141000</v>
      </c>
      <c r="AC57" s="753"/>
      <c r="AD57" s="643"/>
      <c r="AE57" s="654"/>
      <c r="AF57" s="654"/>
      <c r="AG57" s="654"/>
    </row>
    <row r="58" spans="1:33" s="655" customFormat="1" ht="93" customHeight="1">
      <c r="A58" s="646"/>
      <c r="B58" s="659"/>
      <c r="C58" s="643"/>
      <c r="D58" s="643"/>
      <c r="E58" s="643"/>
      <c r="F58" s="643"/>
      <c r="G58" s="643"/>
      <c r="H58" s="656"/>
      <c r="I58" s="643"/>
      <c r="J58" s="643"/>
      <c r="K58" s="643"/>
      <c r="L58" s="643"/>
      <c r="M58" s="643"/>
      <c r="N58" s="643"/>
      <c r="O58" s="674"/>
      <c r="P58" s="650"/>
      <c r="Q58" s="650"/>
      <c r="R58" s="649" t="s">
        <v>399</v>
      </c>
      <c r="S58" s="649">
        <v>40</v>
      </c>
      <c r="T58" s="649" t="s">
        <v>379</v>
      </c>
      <c r="U58" s="650">
        <v>43000</v>
      </c>
      <c r="V58" s="650">
        <f>S58*U58*W58</f>
        <v>1720000</v>
      </c>
      <c r="W58" s="651">
        <v>1</v>
      </c>
      <c r="X58" s="650"/>
      <c r="Y58" s="650"/>
      <c r="Z58" s="650">
        <f t="shared" si="16"/>
        <v>0</v>
      </c>
      <c r="AA58" s="652"/>
      <c r="AB58" s="650">
        <f t="shared" si="17"/>
        <v>1720000</v>
      </c>
      <c r="AC58" s="753"/>
      <c r="AD58" s="643"/>
      <c r="AE58" s="654"/>
      <c r="AF58" s="654"/>
      <c r="AG58" s="654"/>
    </row>
    <row r="59" spans="1:33" s="655" customFormat="1" ht="93" customHeight="1">
      <c r="A59" s="646">
        <v>6</v>
      </c>
      <c r="B59" s="659" t="s">
        <v>230</v>
      </c>
      <c r="C59" s="643">
        <v>76</v>
      </c>
      <c r="D59" s="643">
        <v>81</v>
      </c>
      <c r="E59" s="643">
        <v>109.9</v>
      </c>
      <c r="F59" s="643" t="s">
        <v>45</v>
      </c>
      <c r="G59" s="643" t="s">
        <v>37</v>
      </c>
      <c r="H59" s="656"/>
      <c r="I59" s="670">
        <v>91</v>
      </c>
      <c r="J59" s="643"/>
      <c r="K59" s="643"/>
      <c r="L59" s="643"/>
      <c r="M59" s="643"/>
      <c r="N59" s="643">
        <f>SUM(H59:M59)</f>
        <v>91</v>
      </c>
      <c r="O59" s="674"/>
      <c r="P59" s="650">
        <v>60000</v>
      </c>
      <c r="Q59" s="650">
        <f>N59*P59</f>
        <v>5460000</v>
      </c>
      <c r="R59" s="649"/>
      <c r="S59" s="649"/>
      <c r="T59" s="649"/>
      <c r="U59" s="650"/>
      <c r="V59" s="650"/>
      <c r="W59" s="651"/>
      <c r="X59" s="650">
        <f>N59*10000</f>
        <v>910000</v>
      </c>
      <c r="Y59" s="650">
        <f>N59*P59*3</f>
        <v>16380000</v>
      </c>
      <c r="Z59" s="650">
        <f t="shared" si="16"/>
        <v>0</v>
      </c>
      <c r="AA59" s="652">
        <f>Z59*3500000</f>
        <v>0</v>
      </c>
      <c r="AB59" s="650">
        <f t="shared" si="17"/>
        <v>22750000</v>
      </c>
      <c r="AC59" s="753"/>
      <c r="AD59" s="643"/>
      <c r="AE59" s="654"/>
      <c r="AF59" s="654"/>
      <c r="AG59" s="654"/>
    </row>
    <row r="60" spans="1:33" s="655" customFormat="1" ht="93" customHeight="1">
      <c r="A60" s="646">
        <v>6</v>
      </c>
      <c r="B60" s="659" t="s">
        <v>230</v>
      </c>
      <c r="C60" s="643">
        <v>76</v>
      </c>
      <c r="D60" s="643">
        <v>81</v>
      </c>
      <c r="E60" s="643">
        <v>109.9</v>
      </c>
      <c r="F60" s="643" t="s">
        <v>45</v>
      </c>
      <c r="G60" s="643" t="s">
        <v>37</v>
      </c>
      <c r="H60" s="656"/>
      <c r="I60" s="656"/>
      <c r="J60" s="656"/>
      <c r="K60" s="656"/>
      <c r="L60" s="656"/>
      <c r="M60" s="656"/>
      <c r="N60" s="670"/>
      <c r="O60" s="676"/>
      <c r="P60" s="656"/>
      <c r="Q60" s="656"/>
      <c r="R60" s="649" t="s">
        <v>399</v>
      </c>
      <c r="S60" s="649">
        <v>30</v>
      </c>
      <c r="T60" s="649" t="s">
        <v>379</v>
      </c>
      <c r="U60" s="650">
        <v>43000</v>
      </c>
      <c r="V60" s="650">
        <f>S60*U60*W60</f>
        <v>1290000</v>
      </c>
      <c r="W60" s="651">
        <v>1</v>
      </c>
      <c r="X60" s="650"/>
      <c r="Y60" s="650"/>
      <c r="Z60" s="650"/>
      <c r="AA60" s="650"/>
      <c r="AB60" s="650">
        <f t="shared" si="17"/>
        <v>1290000</v>
      </c>
      <c r="AC60" s="753"/>
      <c r="AD60" s="643"/>
      <c r="AE60" s="654"/>
      <c r="AF60" s="654"/>
      <c r="AG60" s="654"/>
    </row>
    <row r="61" spans="1:33" s="655" customFormat="1" ht="93" customHeight="1">
      <c r="A61" s="646">
        <v>6</v>
      </c>
      <c r="B61" s="659" t="s">
        <v>230</v>
      </c>
      <c r="C61" s="643">
        <v>76</v>
      </c>
      <c r="D61" s="643">
        <v>81</v>
      </c>
      <c r="E61" s="643">
        <v>109.9</v>
      </c>
      <c r="F61" s="643" t="s">
        <v>45</v>
      </c>
      <c r="G61" s="643" t="s">
        <v>37</v>
      </c>
      <c r="H61" s="656"/>
      <c r="I61" s="648"/>
      <c r="J61" s="656"/>
      <c r="K61" s="656"/>
      <c r="L61" s="656"/>
      <c r="M61" s="656"/>
      <c r="N61" s="643"/>
      <c r="O61" s="649"/>
      <c r="P61" s="656"/>
      <c r="Q61" s="656"/>
      <c r="R61" s="649" t="s">
        <v>30</v>
      </c>
      <c r="S61" s="649">
        <f>91-30</f>
        <v>61</v>
      </c>
      <c r="T61" s="649" t="s">
        <v>379</v>
      </c>
      <c r="U61" s="650">
        <v>9500</v>
      </c>
      <c r="V61" s="650">
        <f>S61*U61*W61</f>
        <v>579500</v>
      </c>
      <c r="W61" s="651">
        <v>1</v>
      </c>
      <c r="X61" s="650"/>
      <c r="Y61" s="650"/>
      <c r="Z61" s="650"/>
      <c r="AA61" s="650"/>
      <c r="AB61" s="650">
        <f>Q61+V61+X61+Y61+AA61</f>
        <v>579500</v>
      </c>
      <c r="AC61" s="753"/>
      <c r="AD61" s="643"/>
      <c r="AE61" s="654"/>
      <c r="AF61" s="654"/>
      <c r="AG61" s="654"/>
    </row>
    <row r="62" spans="1:33" s="655" customFormat="1" ht="84" customHeight="1">
      <c r="A62" s="646">
        <v>7</v>
      </c>
      <c r="B62" s="647" t="s">
        <v>301</v>
      </c>
      <c r="C62" s="643">
        <v>26</v>
      </c>
      <c r="D62" s="643">
        <v>81</v>
      </c>
      <c r="E62" s="643">
        <v>110.8</v>
      </c>
      <c r="F62" s="643" t="s">
        <v>0</v>
      </c>
      <c r="G62" s="643" t="s">
        <v>37</v>
      </c>
      <c r="H62" s="648"/>
      <c r="I62" s="648">
        <v>110.8</v>
      </c>
      <c r="J62" s="648"/>
      <c r="K62" s="648"/>
      <c r="L62" s="648"/>
      <c r="M62" s="648"/>
      <c r="N62" s="643">
        <f>SUM(H62:M62)</f>
        <v>110.8</v>
      </c>
      <c r="O62" s="649">
        <f>N62</f>
        <v>110.8</v>
      </c>
      <c r="P62" s="650">
        <v>60000</v>
      </c>
      <c r="Q62" s="650">
        <f>N62*P62</f>
        <v>6648000</v>
      </c>
      <c r="R62" s="649" t="s">
        <v>30</v>
      </c>
      <c r="S62" s="649">
        <f>N62</f>
        <v>110.8</v>
      </c>
      <c r="T62" s="649" t="s">
        <v>379</v>
      </c>
      <c r="U62" s="650">
        <v>9500</v>
      </c>
      <c r="V62" s="650">
        <f>S62*U62*W62</f>
        <v>1052600</v>
      </c>
      <c r="W62" s="651">
        <v>1</v>
      </c>
      <c r="X62" s="650">
        <f>N62*10000</f>
        <v>1108000</v>
      </c>
      <c r="Y62" s="650">
        <f>N62*P62*3</f>
        <v>19944000</v>
      </c>
      <c r="Z62" s="650">
        <f>INT(O62/176.4)</f>
        <v>0</v>
      </c>
      <c r="AA62" s="652">
        <f>Z62*3500000</f>
        <v>0</v>
      </c>
      <c r="AB62" s="650">
        <f>Q62+V62+X62+Y62+AA62</f>
        <v>28752600</v>
      </c>
      <c r="AC62" s="650">
        <f>AB62</f>
        <v>28752600</v>
      </c>
      <c r="AD62" s="653"/>
      <c r="AE62" s="654"/>
      <c r="AF62" s="654"/>
      <c r="AG62" s="654"/>
    </row>
    <row r="63" spans="1:33" s="655" customFormat="1" ht="22.5">
      <c r="A63" s="700"/>
      <c r="B63" s="701"/>
      <c r="N63" s="702"/>
      <c r="Z63" s="702"/>
      <c r="AA63" s="654"/>
      <c r="AB63" s="700"/>
      <c r="AC63" s="700"/>
      <c r="AE63" s="654"/>
      <c r="AF63" s="654"/>
      <c r="AG63" s="654"/>
    </row>
    <row r="64" spans="1:33" s="655" customFormat="1" ht="22.5">
      <c r="A64" s="700"/>
      <c r="B64" s="701"/>
      <c r="N64" s="702"/>
      <c r="Z64" s="702"/>
      <c r="AA64" s="654"/>
      <c r="AB64" s="700"/>
      <c r="AC64" s="700"/>
      <c r="AE64" s="654"/>
      <c r="AF64" s="654"/>
      <c r="AG64" s="654"/>
    </row>
    <row r="65" spans="1:33" s="655" customFormat="1" ht="22.5">
      <c r="A65" s="700"/>
      <c r="B65" s="701"/>
      <c r="N65" s="702"/>
      <c r="Z65" s="702"/>
      <c r="AA65" s="654"/>
      <c r="AB65" s="700"/>
      <c r="AC65" s="700"/>
      <c r="AE65" s="654"/>
      <c r="AF65" s="654"/>
      <c r="AG65" s="654"/>
    </row>
    <row r="66" spans="1:33" s="655" customFormat="1" ht="22.5">
      <c r="A66" s="700"/>
      <c r="B66" s="701"/>
      <c r="N66" s="702"/>
      <c r="Z66" s="702"/>
      <c r="AA66" s="654"/>
      <c r="AB66" s="700"/>
      <c r="AC66" s="700"/>
      <c r="AE66" s="654"/>
      <c r="AF66" s="654"/>
      <c r="AG66" s="654"/>
    </row>
    <row r="67" spans="1:33" s="655" customFormat="1" ht="22.5">
      <c r="A67" s="700"/>
      <c r="B67" s="701"/>
      <c r="N67" s="702"/>
      <c r="Z67" s="702"/>
      <c r="AA67" s="654"/>
      <c r="AB67" s="700"/>
      <c r="AC67" s="700"/>
      <c r="AE67" s="654"/>
      <c r="AF67" s="654"/>
      <c r="AG67" s="654"/>
    </row>
    <row r="68" spans="1:33" s="655" customFormat="1" ht="22.5">
      <c r="A68" s="700"/>
      <c r="B68" s="701"/>
      <c r="N68" s="702"/>
      <c r="Z68" s="702"/>
      <c r="AA68" s="654"/>
      <c r="AB68" s="700"/>
      <c r="AC68" s="700"/>
      <c r="AE68" s="654"/>
      <c r="AF68" s="654"/>
      <c r="AG68" s="654"/>
    </row>
    <row r="69" spans="1:33" s="655" customFormat="1" ht="22.5">
      <c r="A69" s="700"/>
      <c r="B69" s="701"/>
      <c r="N69" s="702"/>
      <c r="Z69" s="702"/>
      <c r="AA69" s="654"/>
      <c r="AB69" s="700"/>
      <c r="AC69" s="700"/>
      <c r="AE69" s="654"/>
      <c r="AF69" s="654"/>
      <c r="AG69" s="654"/>
    </row>
    <row r="70" spans="1:33" s="655" customFormat="1" ht="22.5">
      <c r="A70" s="700"/>
      <c r="B70" s="701"/>
      <c r="N70" s="702"/>
      <c r="Z70" s="702"/>
      <c r="AA70" s="654"/>
      <c r="AB70" s="700"/>
      <c r="AC70" s="700"/>
      <c r="AE70" s="654"/>
      <c r="AF70" s="654"/>
      <c r="AG70" s="654"/>
    </row>
    <row r="71" spans="1:33" s="655" customFormat="1" ht="22.5">
      <c r="A71" s="700"/>
      <c r="B71" s="701"/>
      <c r="N71" s="702"/>
      <c r="Z71" s="702"/>
      <c r="AA71" s="654"/>
      <c r="AB71" s="700"/>
      <c r="AC71" s="700"/>
      <c r="AE71" s="654"/>
      <c r="AF71" s="654"/>
      <c r="AG71" s="654"/>
    </row>
    <row r="72" spans="1:33" s="655" customFormat="1" ht="22.5">
      <c r="A72" s="700"/>
      <c r="B72" s="701"/>
      <c r="N72" s="702"/>
      <c r="Z72" s="702"/>
      <c r="AA72" s="654"/>
      <c r="AB72" s="700"/>
      <c r="AC72" s="700"/>
      <c r="AE72" s="654"/>
      <c r="AF72" s="654"/>
      <c r="AG72" s="654"/>
    </row>
    <row r="73" spans="1:33" s="655" customFormat="1" ht="22.5">
      <c r="A73" s="700"/>
      <c r="B73" s="701"/>
      <c r="N73" s="702"/>
      <c r="Z73" s="702"/>
      <c r="AA73" s="654"/>
      <c r="AB73" s="700"/>
      <c r="AC73" s="700"/>
      <c r="AE73" s="654"/>
      <c r="AF73" s="654"/>
      <c r="AG73" s="654"/>
    </row>
    <row r="74" spans="1:33" s="655" customFormat="1" ht="22.5">
      <c r="A74" s="700"/>
      <c r="B74" s="701"/>
      <c r="N74" s="702"/>
      <c r="Z74" s="702"/>
      <c r="AA74" s="654"/>
      <c r="AB74" s="700"/>
      <c r="AC74" s="700"/>
      <c r="AE74" s="654"/>
      <c r="AF74" s="654"/>
      <c r="AG74" s="654"/>
    </row>
    <row r="75" spans="1:33" s="655" customFormat="1" ht="22.5">
      <c r="A75" s="700"/>
      <c r="B75" s="701"/>
      <c r="N75" s="702"/>
      <c r="Z75" s="702"/>
      <c r="AA75" s="654"/>
      <c r="AB75" s="700"/>
      <c r="AC75" s="700"/>
      <c r="AE75" s="654"/>
      <c r="AF75" s="654"/>
      <c r="AG75" s="654"/>
    </row>
    <row r="76" spans="1:33" s="655" customFormat="1" ht="22.5">
      <c r="A76" s="700"/>
      <c r="B76" s="701"/>
      <c r="N76" s="702"/>
      <c r="Z76" s="702"/>
      <c r="AA76" s="654"/>
      <c r="AB76" s="700"/>
      <c r="AC76" s="700"/>
      <c r="AE76" s="654"/>
      <c r="AF76" s="654"/>
      <c r="AG76" s="654"/>
    </row>
    <row r="77" spans="1:33" s="655" customFormat="1" ht="22.5">
      <c r="A77" s="700"/>
      <c r="B77" s="701"/>
      <c r="N77" s="702"/>
      <c r="Z77" s="702"/>
      <c r="AA77" s="654"/>
      <c r="AB77" s="700"/>
      <c r="AC77" s="700"/>
      <c r="AE77" s="654"/>
      <c r="AF77" s="654"/>
      <c r="AG77" s="654"/>
    </row>
    <row r="78" spans="1:33" s="655" customFormat="1" ht="22.5">
      <c r="A78" s="700"/>
      <c r="B78" s="701"/>
      <c r="N78" s="702"/>
      <c r="Z78" s="702"/>
      <c r="AA78" s="654"/>
      <c r="AB78" s="700"/>
      <c r="AC78" s="700"/>
      <c r="AE78" s="654"/>
      <c r="AF78" s="654"/>
      <c r="AG78" s="654"/>
    </row>
    <row r="79" spans="1:33" s="655" customFormat="1" ht="22.5">
      <c r="A79" s="700"/>
      <c r="B79" s="701"/>
      <c r="N79" s="702"/>
      <c r="Z79" s="702"/>
      <c r="AA79" s="654"/>
      <c r="AB79" s="700"/>
      <c r="AC79" s="700"/>
      <c r="AE79" s="654"/>
      <c r="AF79" s="654"/>
      <c r="AG79" s="654"/>
    </row>
    <row r="80" spans="1:33" s="655" customFormat="1" ht="22.5">
      <c r="A80" s="700"/>
      <c r="B80" s="701"/>
      <c r="N80" s="702"/>
      <c r="Z80" s="702"/>
      <c r="AA80" s="654"/>
      <c r="AB80" s="700"/>
      <c r="AC80" s="700"/>
      <c r="AE80" s="654"/>
      <c r="AF80" s="654"/>
      <c r="AG80" s="654"/>
    </row>
    <row r="81" spans="1:33" s="655" customFormat="1" ht="22.5">
      <c r="A81" s="700"/>
      <c r="B81" s="701"/>
      <c r="N81" s="702"/>
      <c r="Z81" s="702"/>
      <c r="AA81" s="654"/>
      <c r="AB81" s="700"/>
      <c r="AC81" s="700"/>
      <c r="AE81" s="654"/>
      <c r="AF81" s="654"/>
      <c r="AG81" s="654"/>
    </row>
    <row r="82" spans="1:33" s="655" customFormat="1" ht="22.5">
      <c r="A82" s="700"/>
      <c r="B82" s="701"/>
      <c r="N82" s="702"/>
      <c r="Z82" s="702"/>
      <c r="AA82" s="654"/>
      <c r="AB82" s="700"/>
      <c r="AC82" s="700"/>
      <c r="AE82" s="654"/>
      <c r="AF82" s="654"/>
      <c r="AG82" s="654"/>
    </row>
    <row r="83" spans="1:33" s="655" customFormat="1" ht="22.5">
      <c r="A83" s="700"/>
      <c r="B83" s="701"/>
      <c r="N83" s="702"/>
      <c r="Z83" s="702"/>
      <c r="AA83" s="654"/>
      <c r="AB83" s="700"/>
      <c r="AC83" s="700"/>
      <c r="AE83" s="654"/>
      <c r="AF83" s="654"/>
      <c r="AG83" s="654"/>
    </row>
    <row r="84" spans="1:33" s="655" customFormat="1" ht="22.5">
      <c r="A84" s="700"/>
      <c r="B84" s="701"/>
      <c r="N84" s="702"/>
      <c r="Z84" s="702"/>
      <c r="AA84" s="654"/>
      <c r="AB84" s="700"/>
      <c r="AC84" s="700"/>
      <c r="AE84" s="654"/>
      <c r="AF84" s="654"/>
      <c r="AG84" s="654"/>
    </row>
    <row r="85" spans="1:33" s="655" customFormat="1" ht="22.5">
      <c r="A85" s="700"/>
      <c r="B85" s="701"/>
      <c r="N85" s="702"/>
      <c r="Z85" s="702"/>
      <c r="AA85" s="654"/>
      <c r="AB85" s="700"/>
      <c r="AC85" s="700"/>
      <c r="AE85" s="654"/>
      <c r="AF85" s="654"/>
      <c r="AG85" s="654"/>
    </row>
    <row r="86" spans="1:33" s="655" customFormat="1" ht="22.5">
      <c r="A86" s="700"/>
      <c r="B86" s="701"/>
      <c r="N86" s="702"/>
      <c r="Z86" s="702"/>
      <c r="AA86" s="654"/>
      <c r="AB86" s="700"/>
      <c r="AC86" s="700"/>
      <c r="AE86" s="654"/>
      <c r="AF86" s="654"/>
      <c r="AG86" s="654"/>
    </row>
    <row r="87" spans="1:33" s="655" customFormat="1" ht="22.5">
      <c r="A87" s="700"/>
      <c r="B87" s="701"/>
      <c r="N87" s="702"/>
      <c r="Z87" s="702"/>
      <c r="AA87" s="654"/>
      <c r="AB87" s="700"/>
      <c r="AC87" s="700"/>
      <c r="AE87" s="654"/>
      <c r="AF87" s="654"/>
      <c r="AG87" s="654"/>
    </row>
    <row r="88" spans="1:33" s="655" customFormat="1" ht="22.5">
      <c r="A88" s="700"/>
      <c r="B88" s="701"/>
      <c r="N88" s="702"/>
      <c r="Z88" s="702"/>
      <c r="AA88" s="654"/>
      <c r="AB88" s="700"/>
      <c r="AC88" s="700"/>
      <c r="AE88" s="654"/>
      <c r="AF88" s="654"/>
      <c r="AG88" s="654"/>
    </row>
    <row r="89" spans="1:33" s="655" customFormat="1" ht="22.5">
      <c r="A89" s="700"/>
      <c r="B89" s="701"/>
      <c r="N89" s="702"/>
      <c r="Z89" s="702"/>
      <c r="AA89" s="654"/>
      <c r="AB89" s="700"/>
      <c r="AC89" s="700"/>
      <c r="AE89" s="654"/>
      <c r="AF89" s="654"/>
      <c r="AG89" s="654"/>
    </row>
    <row r="90" spans="1:33" s="655" customFormat="1" ht="22.5">
      <c r="A90" s="700"/>
      <c r="B90" s="701"/>
      <c r="N90" s="702"/>
      <c r="Z90" s="702"/>
      <c r="AA90" s="654"/>
      <c r="AB90" s="700"/>
      <c r="AC90" s="700"/>
      <c r="AE90" s="654"/>
      <c r="AF90" s="654"/>
      <c r="AG90" s="654"/>
    </row>
    <row r="91" spans="1:33" s="655" customFormat="1" ht="22.5">
      <c r="A91" s="700"/>
      <c r="B91" s="701"/>
      <c r="N91" s="702"/>
      <c r="Z91" s="702"/>
      <c r="AA91" s="654"/>
      <c r="AB91" s="700"/>
      <c r="AC91" s="700"/>
      <c r="AE91" s="654"/>
      <c r="AF91" s="654"/>
      <c r="AG91" s="654"/>
    </row>
    <row r="92" spans="1:33" s="655" customFormat="1" ht="22.5">
      <c r="A92" s="700"/>
      <c r="B92" s="701"/>
      <c r="N92" s="702"/>
      <c r="Z92" s="702"/>
      <c r="AA92" s="654"/>
      <c r="AB92" s="700"/>
      <c r="AC92" s="700"/>
      <c r="AE92" s="654"/>
      <c r="AF92" s="654"/>
      <c r="AG92" s="654"/>
    </row>
  </sheetData>
  <sheetProtection/>
  <autoFilter ref="A7:AD62"/>
  <mergeCells count="21">
    <mergeCell ref="A8:B8"/>
    <mergeCell ref="R5:W5"/>
    <mergeCell ref="AC5:AC6"/>
    <mergeCell ref="AD5:AD6"/>
    <mergeCell ref="P25:AA25"/>
    <mergeCell ref="P24:AA24"/>
    <mergeCell ref="G5:G6"/>
    <mergeCell ref="P26:AA26"/>
    <mergeCell ref="X5:AA5"/>
    <mergeCell ref="N5:N6"/>
    <mergeCell ref="O5:O6"/>
    <mergeCell ref="A1:AD1"/>
    <mergeCell ref="A2:AD2"/>
    <mergeCell ref="A5:A6"/>
    <mergeCell ref="B5:B6"/>
    <mergeCell ref="C5:F5"/>
    <mergeCell ref="K4:T4"/>
    <mergeCell ref="H5:L5"/>
    <mergeCell ref="P5:Q5"/>
    <mergeCell ref="A3:AD3"/>
    <mergeCell ref="AB5:AB6"/>
  </mergeCells>
  <printOptions/>
  <pageMargins left="0.393700787401575" right="0.393700787401575" top="0.393700787401575" bottom="0.393700787401575" header="0.118109142607174" footer="0.118109142607174"/>
  <pageSetup horizontalDpi="600" verticalDpi="600" orientation="landscape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35">
      <selection activeCell="J40" sqref="J40"/>
    </sheetView>
  </sheetViews>
  <sheetFormatPr defaultColWidth="9.140625" defaultRowHeight="12.75"/>
  <cols>
    <col min="2" max="2" width="22.8515625" style="0" customWidth="1"/>
    <col min="3" max="3" width="8.8515625" style="699" customWidth="1"/>
    <col min="5" max="5" width="8.8515625" style="699" customWidth="1"/>
    <col min="7" max="8" width="8.8515625" style="699" customWidth="1"/>
    <col min="11" max="11" width="13.8515625" style="0" customWidth="1"/>
  </cols>
  <sheetData>
    <row r="1" spans="1:23" ht="20.25">
      <c r="A1" s="992" t="s">
        <v>413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3"/>
      <c r="U1" s="993"/>
      <c r="V1" s="993"/>
      <c r="W1" s="992"/>
    </row>
    <row r="2" spans="1:23" ht="17.25">
      <c r="A2" s="994" t="s">
        <v>414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5"/>
      <c r="U2" s="995"/>
      <c r="V2" s="995"/>
      <c r="W2" s="994"/>
    </row>
    <row r="3" spans="1:23" ht="18">
      <c r="A3" s="996" t="s">
        <v>415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5"/>
      <c r="U3" s="995"/>
      <c r="V3" s="995"/>
      <c r="W3" s="994"/>
    </row>
    <row r="4" spans="1:23" ht="21.75" customHeight="1">
      <c r="A4" s="794"/>
      <c r="B4" s="795"/>
      <c r="C4" s="795"/>
      <c r="D4" s="795"/>
      <c r="E4" s="795"/>
      <c r="F4" s="795"/>
      <c r="G4" s="794"/>
      <c r="H4" s="794"/>
      <c r="I4" s="794"/>
      <c r="J4" s="794"/>
      <c r="K4" s="794" t="s">
        <v>442</v>
      </c>
      <c r="L4" s="794"/>
      <c r="M4" s="794"/>
      <c r="N4" s="794"/>
      <c r="O4" s="794"/>
      <c r="P4" s="794"/>
      <c r="Q4" s="794"/>
      <c r="R4" s="794"/>
      <c r="S4" s="796"/>
      <c r="T4" s="797"/>
      <c r="U4" s="797"/>
      <c r="V4" s="796"/>
      <c r="W4" s="795"/>
    </row>
    <row r="5" spans="1:23" ht="80.25">
      <c r="A5" s="982" t="s">
        <v>136</v>
      </c>
      <c r="B5" s="982" t="s">
        <v>416</v>
      </c>
      <c r="C5" s="982" t="s">
        <v>417</v>
      </c>
      <c r="D5" s="982"/>
      <c r="E5" s="982"/>
      <c r="F5" s="982"/>
      <c r="G5" s="990" t="s">
        <v>139</v>
      </c>
      <c r="H5" s="990"/>
      <c r="I5" s="990"/>
      <c r="J5" s="990"/>
      <c r="K5" s="997" t="s">
        <v>9</v>
      </c>
      <c r="L5" s="990" t="s">
        <v>418</v>
      </c>
      <c r="M5" s="990"/>
      <c r="N5" s="990"/>
      <c r="O5" s="990"/>
      <c r="P5" s="990"/>
      <c r="Q5" s="990"/>
      <c r="R5" s="990"/>
      <c r="S5" s="798" t="s">
        <v>419</v>
      </c>
      <c r="T5" s="982" t="s">
        <v>420</v>
      </c>
      <c r="U5" s="982" t="s">
        <v>421</v>
      </c>
      <c r="V5" s="982" t="s">
        <v>140</v>
      </c>
      <c r="W5" s="982" t="s">
        <v>7</v>
      </c>
    </row>
    <row r="6" spans="1:23" ht="171">
      <c r="A6" s="982"/>
      <c r="B6" s="982"/>
      <c r="C6" s="318" t="s">
        <v>422</v>
      </c>
      <c r="D6" s="318" t="s">
        <v>142</v>
      </c>
      <c r="E6" s="318" t="s">
        <v>423</v>
      </c>
      <c r="F6" s="799" t="s">
        <v>144</v>
      </c>
      <c r="G6" s="318" t="s">
        <v>422</v>
      </c>
      <c r="H6" s="318" t="s">
        <v>142</v>
      </c>
      <c r="I6" s="318" t="s">
        <v>424</v>
      </c>
      <c r="J6" s="318" t="s">
        <v>144</v>
      </c>
      <c r="K6" s="997"/>
      <c r="L6" s="800" t="s">
        <v>202</v>
      </c>
      <c r="M6" s="800" t="s">
        <v>146</v>
      </c>
      <c r="N6" s="800" t="s">
        <v>292</v>
      </c>
      <c r="O6" s="800" t="s">
        <v>294</v>
      </c>
      <c r="P6" s="800" t="s">
        <v>425</v>
      </c>
      <c r="Q6" s="800" t="s">
        <v>426</v>
      </c>
      <c r="R6" s="800" t="s">
        <v>403</v>
      </c>
      <c r="S6" s="800" t="s">
        <v>146</v>
      </c>
      <c r="T6" s="982"/>
      <c r="U6" s="982"/>
      <c r="V6" s="982"/>
      <c r="W6" s="982"/>
    </row>
    <row r="7" spans="1:23" ht="13.5">
      <c r="A7" s="801">
        <v>1</v>
      </c>
      <c r="B7" s="802">
        <v>2</v>
      </c>
      <c r="C7" s="802">
        <v>3</v>
      </c>
      <c r="D7" s="802">
        <v>4</v>
      </c>
      <c r="E7" s="802">
        <v>5</v>
      </c>
      <c r="F7" s="802">
        <v>6</v>
      </c>
      <c r="G7" s="801">
        <v>7</v>
      </c>
      <c r="H7" s="801">
        <v>8</v>
      </c>
      <c r="I7" s="801">
        <v>9</v>
      </c>
      <c r="J7" s="801">
        <v>10</v>
      </c>
      <c r="K7" s="802">
        <v>11</v>
      </c>
      <c r="L7" s="801">
        <v>12</v>
      </c>
      <c r="M7" s="801">
        <v>13</v>
      </c>
      <c r="N7" s="801">
        <v>14</v>
      </c>
      <c r="O7" s="801">
        <v>15</v>
      </c>
      <c r="P7" s="801"/>
      <c r="Q7" s="801"/>
      <c r="R7" s="801"/>
      <c r="S7" s="801">
        <v>16</v>
      </c>
      <c r="T7" s="803">
        <v>17</v>
      </c>
      <c r="U7" s="803">
        <v>18</v>
      </c>
      <c r="V7" s="801">
        <v>19</v>
      </c>
      <c r="W7" s="801">
        <v>20</v>
      </c>
    </row>
    <row r="8" spans="1:23" ht="34.5" customHeight="1">
      <c r="A8" s="990" t="s">
        <v>427</v>
      </c>
      <c r="B8" s="990"/>
      <c r="C8" s="804"/>
      <c r="D8" s="804"/>
      <c r="E8" s="804"/>
      <c r="F8" s="804"/>
      <c r="G8" s="805"/>
      <c r="H8" s="805"/>
      <c r="I8" s="806"/>
      <c r="J8" s="806"/>
      <c r="K8" s="806"/>
      <c r="L8" s="806">
        <f>SUM(L9:L45)</f>
        <v>1991</v>
      </c>
      <c r="M8" s="806">
        <f aca="true" t="shared" si="0" ref="M8:S8">SUM(M9:M45)</f>
        <v>1548.4999999999998</v>
      </c>
      <c r="N8" s="806">
        <f t="shared" si="0"/>
        <v>1040.8</v>
      </c>
      <c r="O8" s="806">
        <f t="shared" si="0"/>
        <v>216.7</v>
      </c>
      <c r="P8" s="806">
        <f t="shared" si="0"/>
        <v>212.7</v>
      </c>
      <c r="Q8" s="806">
        <f t="shared" si="0"/>
        <v>524.4</v>
      </c>
      <c r="R8" s="806">
        <f t="shared" si="0"/>
        <v>2255.7999999999997</v>
      </c>
      <c r="S8" s="806">
        <f t="shared" si="0"/>
        <v>0.8</v>
      </c>
      <c r="T8" s="806">
        <f>SUM(T10:T45)</f>
        <v>7790.7</v>
      </c>
      <c r="U8" s="806">
        <f>SUM(U9:U45)</f>
        <v>7790.7</v>
      </c>
      <c r="V8" s="807"/>
      <c r="W8" s="808"/>
    </row>
    <row r="9" spans="1:23" ht="34.5" customHeight="1">
      <c r="A9" s="991" t="s">
        <v>184</v>
      </c>
      <c r="B9" s="991"/>
      <c r="C9" s="809"/>
      <c r="D9" s="809"/>
      <c r="E9" s="809"/>
      <c r="F9" s="809"/>
      <c r="G9" s="810"/>
      <c r="H9" s="810"/>
      <c r="I9" s="811"/>
      <c r="J9" s="812"/>
      <c r="K9" s="812"/>
      <c r="L9" s="813"/>
      <c r="M9" s="813"/>
      <c r="N9" s="813"/>
      <c r="O9" s="813"/>
      <c r="P9" s="813"/>
      <c r="Q9" s="813"/>
      <c r="R9" s="813"/>
      <c r="S9" s="811"/>
      <c r="T9" s="814"/>
      <c r="U9" s="814"/>
      <c r="V9" s="815"/>
      <c r="W9" s="816"/>
    </row>
    <row r="10" spans="1:23" ht="34.5" customHeight="1">
      <c r="A10" s="495">
        <v>1</v>
      </c>
      <c r="B10" s="817" t="s">
        <v>428</v>
      </c>
      <c r="C10" s="495" t="s">
        <v>429</v>
      </c>
      <c r="D10" s="495">
        <v>8</v>
      </c>
      <c r="E10" s="768">
        <v>182</v>
      </c>
      <c r="F10" s="495" t="s">
        <v>0</v>
      </c>
      <c r="G10" s="495">
        <v>51</v>
      </c>
      <c r="H10" s="495">
        <v>72</v>
      </c>
      <c r="I10" s="495">
        <v>328.2</v>
      </c>
      <c r="J10" s="495" t="s">
        <v>0</v>
      </c>
      <c r="K10" s="495" t="s">
        <v>43</v>
      </c>
      <c r="L10" s="815">
        <v>92.1</v>
      </c>
      <c r="M10" s="815"/>
      <c r="N10" s="815"/>
      <c r="O10" s="815"/>
      <c r="P10" s="815"/>
      <c r="Q10" s="815"/>
      <c r="R10" s="815"/>
      <c r="S10" s="495"/>
      <c r="T10" s="818">
        <f>SUM(L10:S10)</f>
        <v>92.1</v>
      </c>
      <c r="U10" s="818">
        <f>T10</f>
        <v>92.1</v>
      </c>
      <c r="V10" s="768" t="s">
        <v>0</v>
      </c>
      <c r="W10" s="495" t="s">
        <v>71</v>
      </c>
    </row>
    <row r="11" spans="1:23" ht="34.5" customHeight="1">
      <c r="A11" s="495">
        <v>2</v>
      </c>
      <c r="B11" s="817" t="s">
        <v>342</v>
      </c>
      <c r="C11" s="495" t="s">
        <v>430</v>
      </c>
      <c r="D11" s="495">
        <v>8</v>
      </c>
      <c r="E11" s="495">
        <v>287.2</v>
      </c>
      <c r="F11" s="495" t="s">
        <v>0</v>
      </c>
      <c r="G11" s="495">
        <v>51</v>
      </c>
      <c r="H11" s="495">
        <v>72</v>
      </c>
      <c r="I11" s="495">
        <v>328.2</v>
      </c>
      <c r="J11" s="495" t="s">
        <v>0</v>
      </c>
      <c r="K11" s="495" t="s">
        <v>43</v>
      </c>
      <c r="L11" s="815">
        <v>236.1</v>
      </c>
      <c r="M11" s="815"/>
      <c r="N11" s="815"/>
      <c r="O11" s="815"/>
      <c r="P11" s="815"/>
      <c r="Q11" s="815"/>
      <c r="R11" s="815"/>
      <c r="S11" s="495"/>
      <c r="T11" s="818">
        <f>SUM(L11:S11)</f>
        <v>236.1</v>
      </c>
      <c r="U11" s="984">
        <f>SUM(T11:T13)</f>
        <v>692.8</v>
      </c>
      <c r="V11" s="815" t="s">
        <v>0</v>
      </c>
      <c r="W11" s="495" t="s">
        <v>71</v>
      </c>
    </row>
    <row r="12" spans="1:23" ht="34.5" customHeight="1">
      <c r="A12" s="495">
        <v>2</v>
      </c>
      <c r="B12" s="817" t="s">
        <v>342</v>
      </c>
      <c r="C12" s="495"/>
      <c r="D12" s="495"/>
      <c r="E12" s="495"/>
      <c r="F12" s="817"/>
      <c r="G12" s="495">
        <v>47</v>
      </c>
      <c r="H12" s="495">
        <v>72</v>
      </c>
      <c r="I12" s="495">
        <v>216.7</v>
      </c>
      <c r="J12" s="495" t="s">
        <v>299</v>
      </c>
      <c r="K12" s="495" t="s">
        <v>43</v>
      </c>
      <c r="L12" s="516"/>
      <c r="M12" s="815"/>
      <c r="N12" s="815"/>
      <c r="O12" s="815">
        <v>216.7</v>
      </c>
      <c r="P12" s="815"/>
      <c r="Q12" s="815"/>
      <c r="R12" s="815"/>
      <c r="S12" s="495"/>
      <c r="T12" s="818">
        <f>SUM(L12:S12)</f>
        <v>216.7</v>
      </c>
      <c r="U12" s="984"/>
      <c r="V12" s="815" t="s">
        <v>299</v>
      </c>
      <c r="W12" s="495"/>
    </row>
    <row r="13" spans="1:23" ht="34.5" customHeight="1">
      <c r="A13" s="495">
        <v>2</v>
      </c>
      <c r="B13" s="817" t="s">
        <v>373</v>
      </c>
      <c r="C13" s="495" t="s">
        <v>431</v>
      </c>
      <c r="D13" s="495">
        <v>8</v>
      </c>
      <c r="E13" s="815">
        <v>240</v>
      </c>
      <c r="F13" s="495" t="s">
        <v>0</v>
      </c>
      <c r="G13" s="495">
        <v>157</v>
      </c>
      <c r="H13" s="495">
        <v>72</v>
      </c>
      <c r="I13" s="495">
        <v>524.5</v>
      </c>
      <c r="J13" s="495" t="s">
        <v>45</v>
      </c>
      <c r="K13" s="495" t="s">
        <v>44</v>
      </c>
      <c r="L13" s="815">
        <v>240</v>
      </c>
      <c r="M13" s="815"/>
      <c r="N13" s="815"/>
      <c r="O13" s="815"/>
      <c r="P13" s="815"/>
      <c r="Q13" s="815"/>
      <c r="R13" s="815"/>
      <c r="S13" s="495"/>
      <c r="T13" s="818">
        <f>SUM(L13:S13)</f>
        <v>240</v>
      </c>
      <c r="U13" s="984"/>
      <c r="V13" s="815" t="s">
        <v>0</v>
      </c>
      <c r="W13" s="495"/>
    </row>
    <row r="14" spans="1:23" ht="34.5" customHeight="1">
      <c r="A14" s="495">
        <v>3</v>
      </c>
      <c r="B14" s="817" t="s">
        <v>302</v>
      </c>
      <c r="C14" s="495"/>
      <c r="D14" s="495"/>
      <c r="E14" s="815"/>
      <c r="F14" s="495"/>
      <c r="G14" s="495">
        <v>38</v>
      </c>
      <c r="H14" s="517">
        <v>81</v>
      </c>
      <c r="I14" s="495">
        <v>173.9</v>
      </c>
      <c r="J14" s="495" t="s">
        <v>0</v>
      </c>
      <c r="K14" s="495" t="s">
        <v>37</v>
      </c>
      <c r="L14" s="815"/>
      <c r="M14" s="815">
        <v>173.9</v>
      </c>
      <c r="N14" s="815"/>
      <c r="O14" s="815"/>
      <c r="P14" s="815"/>
      <c r="Q14" s="815"/>
      <c r="R14" s="815"/>
      <c r="S14" s="495"/>
      <c r="T14" s="818">
        <v>173.9</v>
      </c>
      <c r="U14" s="814">
        <v>173.9</v>
      </c>
      <c r="V14" s="815" t="s">
        <v>0</v>
      </c>
      <c r="W14" s="495"/>
    </row>
    <row r="15" spans="1:23" ht="55.5" customHeight="1">
      <c r="A15" s="495">
        <v>4</v>
      </c>
      <c r="B15" s="817" t="s">
        <v>303</v>
      </c>
      <c r="C15" s="495">
        <v>46</v>
      </c>
      <c r="D15" s="495">
        <v>13</v>
      </c>
      <c r="E15" s="495">
        <v>410.9</v>
      </c>
      <c r="F15" s="495" t="s">
        <v>0</v>
      </c>
      <c r="G15" s="495">
        <v>17</v>
      </c>
      <c r="H15" s="495">
        <v>81</v>
      </c>
      <c r="I15" s="819">
        <v>261.7</v>
      </c>
      <c r="J15" s="495" t="s">
        <v>0</v>
      </c>
      <c r="K15" s="495" t="s">
        <v>296</v>
      </c>
      <c r="L15" s="819">
        <f>I15</f>
        <v>261.7</v>
      </c>
      <c r="M15" s="815"/>
      <c r="N15" s="815"/>
      <c r="O15" s="815"/>
      <c r="P15" s="815"/>
      <c r="Q15" s="815"/>
      <c r="R15" s="815"/>
      <c r="S15" s="495"/>
      <c r="T15" s="818">
        <f aca="true" t="shared" si="1" ref="T15:T20">SUM(L15:S15)</f>
        <v>261.7</v>
      </c>
      <c r="U15" s="818">
        <f>SUM(T15:T15)</f>
        <v>261.7</v>
      </c>
      <c r="V15" s="768" t="s">
        <v>0</v>
      </c>
      <c r="W15" s="495"/>
    </row>
    <row r="16" spans="1:23" ht="34.5" customHeight="1">
      <c r="A16" s="495">
        <v>5</v>
      </c>
      <c r="B16" s="765" t="s">
        <v>221</v>
      </c>
      <c r="C16" s="495"/>
      <c r="D16" s="495"/>
      <c r="E16" s="495"/>
      <c r="F16" s="765"/>
      <c r="G16" s="495">
        <v>8</v>
      </c>
      <c r="H16" s="495">
        <v>72</v>
      </c>
      <c r="I16" s="495">
        <v>254.7</v>
      </c>
      <c r="J16" s="517" t="s">
        <v>0</v>
      </c>
      <c r="K16" s="495" t="s">
        <v>288</v>
      </c>
      <c r="L16" s="516"/>
      <c r="M16" s="495">
        <v>28.2</v>
      </c>
      <c r="N16" s="495"/>
      <c r="O16" s="495"/>
      <c r="P16" s="495"/>
      <c r="Q16" s="495"/>
      <c r="R16" s="495"/>
      <c r="S16" s="495"/>
      <c r="T16" s="818">
        <f t="shared" si="1"/>
        <v>28.2</v>
      </c>
      <c r="U16" s="981">
        <f>SUM(T16:T17)</f>
        <v>162.5</v>
      </c>
      <c r="V16" s="820" t="s">
        <v>0</v>
      </c>
      <c r="W16" s="495" t="s">
        <v>71</v>
      </c>
    </row>
    <row r="17" spans="1:23" ht="34.5" customHeight="1">
      <c r="A17" s="495">
        <v>5</v>
      </c>
      <c r="B17" s="765" t="s">
        <v>221</v>
      </c>
      <c r="C17" s="495"/>
      <c r="D17" s="495"/>
      <c r="E17" s="495"/>
      <c r="F17" s="765"/>
      <c r="G17" s="495">
        <v>213</v>
      </c>
      <c r="H17" s="495">
        <v>72</v>
      </c>
      <c r="I17" s="495">
        <v>328.1</v>
      </c>
      <c r="J17" s="495" t="s">
        <v>45</v>
      </c>
      <c r="K17" s="495" t="s">
        <v>44</v>
      </c>
      <c r="L17" s="516"/>
      <c r="M17" s="495">
        <f>I17-L18</f>
        <v>134.3</v>
      </c>
      <c r="N17" s="495"/>
      <c r="O17" s="495"/>
      <c r="P17" s="495"/>
      <c r="Q17" s="495"/>
      <c r="R17" s="495"/>
      <c r="S17" s="495"/>
      <c r="T17" s="818">
        <f t="shared" si="1"/>
        <v>134.3</v>
      </c>
      <c r="U17" s="982"/>
      <c r="V17" s="495" t="s">
        <v>45</v>
      </c>
      <c r="W17" s="495" t="s">
        <v>71</v>
      </c>
    </row>
    <row r="18" spans="1:23" ht="34.5" customHeight="1">
      <c r="A18" s="495">
        <v>6</v>
      </c>
      <c r="B18" s="765" t="s">
        <v>432</v>
      </c>
      <c r="C18" s="495">
        <v>302</v>
      </c>
      <c r="D18" s="495">
        <v>8</v>
      </c>
      <c r="E18" s="495">
        <v>217.4</v>
      </c>
      <c r="F18" s="495" t="s">
        <v>0</v>
      </c>
      <c r="G18" s="495">
        <v>213</v>
      </c>
      <c r="H18" s="495">
        <v>72</v>
      </c>
      <c r="I18" s="495">
        <v>328.1</v>
      </c>
      <c r="J18" s="495" t="s">
        <v>45</v>
      </c>
      <c r="K18" s="495" t="s">
        <v>44</v>
      </c>
      <c r="L18" s="495">
        <f>217.4-23.6</f>
        <v>193.8</v>
      </c>
      <c r="M18" s="495"/>
      <c r="N18" s="495"/>
      <c r="O18" s="495"/>
      <c r="P18" s="495"/>
      <c r="Q18" s="495"/>
      <c r="R18" s="495"/>
      <c r="S18" s="495"/>
      <c r="T18" s="818">
        <f t="shared" si="1"/>
        <v>193.8</v>
      </c>
      <c r="U18" s="981">
        <f>SUM(T18:T19)</f>
        <v>217.4</v>
      </c>
      <c r="V18" s="768" t="s">
        <v>0</v>
      </c>
      <c r="W18" s="495" t="s">
        <v>71</v>
      </c>
    </row>
    <row r="19" spans="1:23" ht="34.5" customHeight="1">
      <c r="A19" s="495">
        <v>6</v>
      </c>
      <c r="B19" s="765" t="s">
        <v>432</v>
      </c>
      <c r="C19" s="495">
        <v>302</v>
      </c>
      <c r="D19" s="495">
        <v>8</v>
      </c>
      <c r="E19" s="495">
        <v>217.4</v>
      </c>
      <c r="F19" s="495" t="s">
        <v>0</v>
      </c>
      <c r="G19" s="495">
        <v>214</v>
      </c>
      <c r="H19" s="495">
        <v>72</v>
      </c>
      <c r="I19" s="495">
        <v>23.6</v>
      </c>
      <c r="J19" s="495" t="s">
        <v>315</v>
      </c>
      <c r="K19" s="495" t="s">
        <v>44</v>
      </c>
      <c r="L19" s="495">
        <v>23.6</v>
      </c>
      <c r="M19" s="495"/>
      <c r="N19" s="495"/>
      <c r="O19" s="495"/>
      <c r="P19" s="495"/>
      <c r="Q19" s="495"/>
      <c r="R19" s="495"/>
      <c r="S19" s="495"/>
      <c r="T19" s="818">
        <f t="shared" si="1"/>
        <v>23.6</v>
      </c>
      <c r="U19" s="982"/>
      <c r="V19" s="495" t="s">
        <v>0</v>
      </c>
      <c r="W19" s="495"/>
    </row>
    <row r="20" spans="1:23" ht="34.5" customHeight="1">
      <c r="A20" s="495">
        <v>7</v>
      </c>
      <c r="B20" s="765" t="s">
        <v>433</v>
      </c>
      <c r="C20" s="495"/>
      <c r="D20" s="495"/>
      <c r="E20" s="495"/>
      <c r="F20" s="765"/>
      <c r="G20" s="495">
        <v>61</v>
      </c>
      <c r="H20" s="495">
        <v>72</v>
      </c>
      <c r="I20" s="495">
        <v>44.2</v>
      </c>
      <c r="J20" s="517" t="s">
        <v>45</v>
      </c>
      <c r="K20" s="495" t="s">
        <v>43</v>
      </c>
      <c r="L20" s="516"/>
      <c r="M20" s="495">
        <f>I20-0.8</f>
        <v>43.400000000000006</v>
      </c>
      <c r="N20" s="495"/>
      <c r="O20" s="495"/>
      <c r="P20" s="495"/>
      <c r="Q20" s="495"/>
      <c r="R20" s="495"/>
      <c r="S20" s="495">
        <v>0.8</v>
      </c>
      <c r="T20" s="818">
        <f t="shared" si="1"/>
        <v>44.2</v>
      </c>
      <c r="U20" s="818">
        <f>T20</f>
        <v>44.2</v>
      </c>
      <c r="V20" s="820" t="s">
        <v>45</v>
      </c>
      <c r="W20" s="495"/>
    </row>
    <row r="21" spans="1:23" ht="34.5" customHeight="1">
      <c r="A21" s="495">
        <v>8</v>
      </c>
      <c r="B21" s="765" t="s">
        <v>434</v>
      </c>
      <c r="C21" s="495"/>
      <c r="D21" s="495"/>
      <c r="E21" s="495"/>
      <c r="F21" s="765"/>
      <c r="G21" s="546">
        <v>121</v>
      </c>
      <c r="H21" s="546">
        <v>71</v>
      </c>
      <c r="I21" s="546">
        <v>121.7</v>
      </c>
      <c r="J21" s="546" t="s">
        <v>396</v>
      </c>
      <c r="K21" s="495" t="s">
        <v>32</v>
      </c>
      <c r="L21" s="495"/>
      <c r="M21" s="495"/>
      <c r="N21" s="495">
        <f>I21</f>
        <v>121.7</v>
      </c>
      <c r="O21" s="495"/>
      <c r="P21" s="495"/>
      <c r="Q21" s="495"/>
      <c r="R21" s="495"/>
      <c r="S21" s="495"/>
      <c r="T21" s="818">
        <f>N21</f>
        <v>121.7</v>
      </c>
      <c r="U21" s="799">
        <f>N21</f>
        <v>121.7</v>
      </c>
      <c r="V21" s="495" t="s">
        <v>396</v>
      </c>
      <c r="W21" s="495"/>
    </row>
    <row r="22" spans="1:23" ht="34.5" customHeight="1">
      <c r="A22" s="495">
        <v>9</v>
      </c>
      <c r="B22" s="765" t="s">
        <v>404</v>
      </c>
      <c r="C22" s="495"/>
      <c r="D22" s="495"/>
      <c r="E22" s="495"/>
      <c r="F22" s="765"/>
      <c r="G22" s="546">
        <v>122</v>
      </c>
      <c r="H22" s="546">
        <v>71</v>
      </c>
      <c r="I22" s="819">
        <v>216.5</v>
      </c>
      <c r="J22" s="546" t="s">
        <v>396</v>
      </c>
      <c r="K22" s="495" t="s">
        <v>32</v>
      </c>
      <c r="L22" s="495"/>
      <c r="M22" s="495"/>
      <c r="N22" s="495"/>
      <c r="O22" s="495"/>
      <c r="P22" s="495">
        <v>212.7</v>
      </c>
      <c r="Q22" s="821"/>
      <c r="R22" s="495"/>
      <c r="S22" s="495"/>
      <c r="T22" s="818">
        <f>P22</f>
        <v>212.7</v>
      </c>
      <c r="U22" s="981">
        <f>SUM(T22:T30)</f>
        <v>2992.8999999999996</v>
      </c>
      <c r="V22" s="495" t="s">
        <v>435</v>
      </c>
      <c r="W22" s="495"/>
    </row>
    <row r="23" spans="1:23" ht="34.5" customHeight="1">
      <c r="A23" s="495">
        <v>9</v>
      </c>
      <c r="B23" s="765" t="s">
        <v>404</v>
      </c>
      <c r="C23" s="495"/>
      <c r="D23" s="495"/>
      <c r="E23" s="495"/>
      <c r="F23" s="765"/>
      <c r="G23" s="495">
        <v>157</v>
      </c>
      <c r="H23" s="495">
        <v>72</v>
      </c>
      <c r="I23" s="495">
        <v>524.5</v>
      </c>
      <c r="J23" s="495" t="s">
        <v>45</v>
      </c>
      <c r="K23" s="495" t="s">
        <v>44</v>
      </c>
      <c r="L23" s="495"/>
      <c r="M23" s="495"/>
      <c r="N23" s="495"/>
      <c r="O23" s="495"/>
      <c r="P23" s="495"/>
      <c r="Q23" s="495">
        <f>I23-240</f>
        <v>284.5</v>
      </c>
      <c r="R23" s="495"/>
      <c r="S23" s="495"/>
      <c r="T23" s="818">
        <f>Q23</f>
        <v>284.5</v>
      </c>
      <c r="U23" s="981"/>
      <c r="V23" s="495" t="s">
        <v>315</v>
      </c>
      <c r="W23" s="495"/>
    </row>
    <row r="24" spans="1:23" ht="34.5" customHeight="1">
      <c r="A24" s="495">
        <v>9</v>
      </c>
      <c r="B24" s="765" t="s">
        <v>404</v>
      </c>
      <c r="C24" s="495"/>
      <c r="D24" s="495"/>
      <c r="E24" s="495"/>
      <c r="F24" s="765"/>
      <c r="G24" s="546">
        <v>155</v>
      </c>
      <c r="H24" s="495">
        <v>72</v>
      </c>
      <c r="I24" s="819">
        <v>16.9</v>
      </c>
      <c r="J24" s="546" t="s">
        <v>315</v>
      </c>
      <c r="K24" s="495" t="s">
        <v>44</v>
      </c>
      <c r="L24" s="495"/>
      <c r="M24" s="495"/>
      <c r="N24" s="495"/>
      <c r="O24" s="495"/>
      <c r="P24" s="495"/>
      <c r="Q24" s="768">
        <f>I24</f>
        <v>16.9</v>
      </c>
      <c r="R24" s="495"/>
      <c r="S24" s="495"/>
      <c r="T24" s="818">
        <f>Q24</f>
        <v>16.9</v>
      </c>
      <c r="U24" s="981"/>
      <c r="V24" s="495" t="s">
        <v>315</v>
      </c>
      <c r="W24" s="495"/>
    </row>
    <row r="25" spans="1:23" ht="34.5" customHeight="1">
      <c r="A25" s="495">
        <v>9</v>
      </c>
      <c r="B25" s="765" t="s">
        <v>404</v>
      </c>
      <c r="C25" s="495"/>
      <c r="D25" s="495"/>
      <c r="E25" s="495"/>
      <c r="F25" s="765"/>
      <c r="G25" s="546">
        <v>156</v>
      </c>
      <c r="H25" s="495">
        <v>72</v>
      </c>
      <c r="I25" s="819">
        <v>49.1</v>
      </c>
      <c r="J25" s="546" t="s">
        <v>315</v>
      </c>
      <c r="K25" s="495" t="s">
        <v>44</v>
      </c>
      <c r="L25" s="495"/>
      <c r="M25" s="495"/>
      <c r="N25" s="495"/>
      <c r="O25" s="495"/>
      <c r="P25" s="495"/>
      <c r="Q25" s="768">
        <f>I25</f>
        <v>49.1</v>
      </c>
      <c r="R25" s="495"/>
      <c r="S25" s="495"/>
      <c r="T25" s="818">
        <f>Q25</f>
        <v>49.1</v>
      </c>
      <c r="U25" s="981"/>
      <c r="V25" s="495" t="s">
        <v>315</v>
      </c>
      <c r="W25" s="495"/>
    </row>
    <row r="26" spans="1:23" ht="34.5" customHeight="1">
      <c r="A26" s="495">
        <v>9</v>
      </c>
      <c r="B26" s="765" t="s">
        <v>404</v>
      </c>
      <c r="C26" s="495"/>
      <c r="D26" s="495"/>
      <c r="E26" s="495"/>
      <c r="F26" s="765"/>
      <c r="G26" s="546">
        <v>115</v>
      </c>
      <c r="H26" s="495">
        <v>72</v>
      </c>
      <c r="I26" s="819">
        <v>131.4</v>
      </c>
      <c r="J26" s="546" t="s">
        <v>315</v>
      </c>
      <c r="K26" s="495" t="s">
        <v>44</v>
      </c>
      <c r="L26" s="495"/>
      <c r="M26" s="495"/>
      <c r="N26" s="495"/>
      <c r="O26" s="495"/>
      <c r="P26" s="495"/>
      <c r="Q26" s="768">
        <f>I26</f>
        <v>131.4</v>
      </c>
      <c r="R26" s="495"/>
      <c r="S26" s="495"/>
      <c r="T26" s="818">
        <f>Q26</f>
        <v>131.4</v>
      </c>
      <c r="U26" s="981"/>
      <c r="V26" s="495" t="s">
        <v>315</v>
      </c>
      <c r="W26" s="495"/>
    </row>
    <row r="27" spans="1:23" ht="34.5" customHeight="1">
      <c r="A27" s="495">
        <v>9</v>
      </c>
      <c r="B27" s="765" t="s">
        <v>404</v>
      </c>
      <c r="C27" s="495"/>
      <c r="D27" s="495"/>
      <c r="E27" s="495"/>
      <c r="F27" s="765"/>
      <c r="G27" s="546">
        <v>116</v>
      </c>
      <c r="H27" s="495">
        <v>72</v>
      </c>
      <c r="I27" s="819">
        <v>42.5</v>
      </c>
      <c r="J27" s="546" t="s">
        <v>315</v>
      </c>
      <c r="K27" s="495" t="s">
        <v>44</v>
      </c>
      <c r="L27" s="495"/>
      <c r="M27" s="495"/>
      <c r="N27" s="495"/>
      <c r="O27" s="495"/>
      <c r="P27" s="495"/>
      <c r="Q27" s="768">
        <f>I27</f>
        <v>42.5</v>
      </c>
      <c r="R27" s="495"/>
      <c r="S27" s="495"/>
      <c r="T27" s="818">
        <f>Q27</f>
        <v>42.5</v>
      </c>
      <c r="U27" s="981"/>
      <c r="V27" s="495" t="s">
        <v>315</v>
      </c>
      <c r="W27" s="495"/>
    </row>
    <row r="28" spans="1:23" ht="34.5" customHeight="1">
      <c r="A28" s="495">
        <v>9</v>
      </c>
      <c r="B28" s="765" t="s">
        <v>404</v>
      </c>
      <c r="C28" s="495"/>
      <c r="D28" s="495"/>
      <c r="E28" s="495"/>
      <c r="F28" s="765"/>
      <c r="G28" s="546">
        <v>185</v>
      </c>
      <c r="H28" s="546">
        <v>72</v>
      </c>
      <c r="I28" s="819">
        <v>447.8</v>
      </c>
      <c r="J28" s="546" t="s">
        <v>45</v>
      </c>
      <c r="K28" s="495" t="s">
        <v>44</v>
      </c>
      <c r="L28" s="495"/>
      <c r="M28" s="495"/>
      <c r="N28" s="495"/>
      <c r="O28" s="495"/>
      <c r="P28" s="495"/>
      <c r="Q28" s="495"/>
      <c r="R28" s="768">
        <f>I28</f>
        <v>447.8</v>
      </c>
      <c r="S28" s="495"/>
      <c r="T28" s="818">
        <f>R28</f>
        <v>447.8</v>
      </c>
      <c r="U28" s="981"/>
      <c r="V28" s="495" t="s">
        <v>45</v>
      </c>
      <c r="W28" s="495"/>
    </row>
    <row r="29" spans="1:23" ht="34.5" customHeight="1">
      <c r="A29" s="495">
        <v>9</v>
      </c>
      <c r="B29" s="765" t="s">
        <v>404</v>
      </c>
      <c r="C29" s="495"/>
      <c r="D29" s="495"/>
      <c r="E29" s="495"/>
      <c r="F29" s="765"/>
      <c r="G29" s="495">
        <v>116</v>
      </c>
      <c r="H29" s="495">
        <v>71</v>
      </c>
      <c r="I29" s="819">
        <v>1595.8</v>
      </c>
      <c r="J29" s="495" t="s">
        <v>45</v>
      </c>
      <c r="K29" s="495" t="s">
        <v>32</v>
      </c>
      <c r="L29" s="516"/>
      <c r="M29" s="495"/>
      <c r="N29" s="495"/>
      <c r="O29" s="495"/>
      <c r="P29" s="495"/>
      <c r="Q29" s="495"/>
      <c r="R29" s="768">
        <f>I29</f>
        <v>1595.8</v>
      </c>
      <c r="S29" s="495"/>
      <c r="T29" s="818">
        <f>R29</f>
        <v>1595.8</v>
      </c>
      <c r="U29" s="981"/>
      <c r="V29" s="768" t="s">
        <v>45</v>
      </c>
      <c r="W29" s="495"/>
    </row>
    <row r="30" spans="1:23" ht="34.5" customHeight="1">
      <c r="A30" s="822">
        <v>9</v>
      </c>
      <c r="B30" s="823" t="s">
        <v>404</v>
      </c>
      <c r="C30" s="822"/>
      <c r="D30" s="822"/>
      <c r="E30" s="822"/>
      <c r="F30" s="823"/>
      <c r="G30" s="822">
        <v>28</v>
      </c>
      <c r="H30" s="822">
        <v>61</v>
      </c>
      <c r="I30" s="822">
        <v>225.1</v>
      </c>
      <c r="J30" s="822" t="s">
        <v>0</v>
      </c>
      <c r="K30" s="822" t="s">
        <v>32</v>
      </c>
      <c r="L30" s="824"/>
      <c r="M30" s="822"/>
      <c r="N30" s="822"/>
      <c r="O30" s="822"/>
      <c r="P30" s="822"/>
      <c r="Q30" s="822"/>
      <c r="R30" s="822">
        <v>212.2</v>
      </c>
      <c r="S30" s="822"/>
      <c r="T30" s="825">
        <f>R30</f>
        <v>212.2</v>
      </c>
      <c r="U30" s="981"/>
      <c r="V30" s="826" t="s">
        <v>0</v>
      </c>
      <c r="W30" s="822"/>
    </row>
    <row r="31" spans="1:23" ht="34.5" customHeight="1">
      <c r="A31" s="982" t="s">
        <v>186</v>
      </c>
      <c r="B31" s="982"/>
      <c r="C31" s="982"/>
      <c r="D31" s="799"/>
      <c r="E31" s="799"/>
      <c r="F31" s="827"/>
      <c r="G31" s="799"/>
      <c r="H31" s="799"/>
      <c r="I31" s="799"/>
      <c r="J31" s="799"/>
      <c r="K31" s="495"/>
      <c r="L31" s="799"/>
      <c r="M31" s="799"/>
      <c r="N31" s="799"/>
      <c r="O31" s="799"/>
      <c r="P31" s="799"/>
      <c r="Q31" s="799"/>
      <c r="R31" s="799"/>
      <c r="S31" s="799"/>
      <c r="T31" s="818"/>
      <c r="U31" s="799"/>
      <c r="V31" s="495"/>
      <c r="W31" s="799"/>
    </row>
    <row r="32" spans="1:23" ht="34.5" customHeight="1">
      <c r="A32" s="828">
        <v>1</v>
      </c>
      <c r="B32" s="829" t="s">
        <v>318</v>
      </c>
      <c r="C32" s="830"/>
      <c r="D32" s="830"/>
      <c r="E32" s="830"/>
      <c r="F32" s="829"/>
      <c r="G32" s="828">
        <v>59</v>
      </c>
      <c r="H32" s="828">
        <v>81</v>
      </c>
      <c r="I32" s="831">
        <v>200.8</v>
      </c>
      <c r="J32" s="828" t="s">
        <v>45</v>
      </c>
      <c r="K32" s="832" t="s">
        <v>37</v>
      </c>
      <c r="L32" s="833"/>
      <c r="M32" s="831">
        <v>200.8</v>
      </c>
      <c r="N32" s="831"/>
      <c r="O32" s="831"/>
      <c r="P32" s="831"/>
      <c r="Q32" s="831"/>
      <c r="R32" s="831"/>
      <c r="S32" s="828"/>
      <c r="T32" s="834">
        <f>SUM(L32:S32)</f>
        <v>200.8</v>
      </c>
      <c r="U32" s="835">
        <f>T32</f>
        <v>200.8</v>
      </c>
      <c r="V32" s="831" t="s">
        <v>45</v>
      </c>
      <c r="W32" s="832"/>
    </row>
    <row r="33" spans="1:23" ht="34.5" customHeight="1">
      <c r="A33" s="987">
        <v>2</v>
      </c>
      <c r="B33" s="988" t="s">
        <v>436</v>
      </c>
      <c r="C33" s="842" t="s">
        <v>437</v>
      </c>
      <c r="D33" s="836">
        <v>13</v>
      </c>
      <c r="E33" s="815">
        <v>330.2</v>
      </c>
      <c r="F33" s="836" t="s">
        <v>0</v>
      </c>
      <c r="G33" s="987">
        <v>29</v>
      </c>
      <c r="H33" s="987">
        <v>81</v>
      </c>
      <c r="I33" s="986">
        <v>333.7</v>
      </c>
      <c r="J33" s="987" t="s">
        <v>0</v>
      </c>
      <c r="K33" s="986" t="s">
        <v>296</v>
      </c>
      <c r="L33" s="986">
        <v>333.7</v>
      </c>
      <c r="M33" s="983"/>
      <c r="N33" s="983"/>
      <c r="O33" s="983"/>
      <c r="P33" s="815"/>
      <c r="Q33" s="983"/>
      <c r="R33" s="983"/>
      <c r="S33" s="983"/>
      <c r="T33" s="981">
        <f>SUM(L33:S33)</f>
        <v>333.7</v>
      </c>
      <c r="U33" s="984">
        <f>T33</f>
        <v>333.7</v>
      </c>
      <c r="V33" s="983" t="s">
        <v>0</v>
      </c>
      <c r="W33" s="985"/>
    </row>
    <row r="34" spans="1:23" ht="34.5" customHeight="1">
      <c r="A34" s="987"/>
      <c r="B34" s="989" t="s">
        <v>438</v>
      </c>
      <c r="C34" s="836">
        <v>50</v>
      </c>
      <c r="D34" s="836">
        <v>4</v>
      </c>
      <c r="E34" s="815">
        <v>408</v>
      </c>
      <c r="F34" s="836" t="s">
        <v>0</v>
      </c>
      <c r="G34" s="987"/>
      <c r="H34" s="987"/>
      <c r="I34" s="986"/>
      <c r="J34" s="987"/>
      <c r="K34" s="986"/>
      <c r="L34" s="986"/>
      <c r="M34" s="983"/>
      <c r="N34" s="983"/>
      <c r="O34" s="983"/>
      <c r="P34" s="815"/>
      <c r="Q34" s="983"/>
      <c r="R34" s="983"/>
      <c r="S34" s="983"/>
      <c r="T34" s="981"/>
      <c r="U34" s="984"/>
      <c r="V34" s="983"/>
      <c r="W34" s="985"/>
    </row>
    <row r="35" spans="1:23" ht="48" customHeight="1">
      <c r="A35" s="495">
        <v>3</v>
      </c>
      <c r="B35" s="817" t="s">
        <v>319</v>
      </c>
      <c r="C35" s="495" t="s">
        <v>439</v>
      </c>
      <c r="D35" s="495">
        <v>13</v>
      </c>
      <c r="E35" s="495">
        <v>485.3</v>
      </c>
      <c r="F35" s="836" t="s">
        <v>0</v>
      </c>
      <c r="G35" s="495">
        <v>108</v>
      </c>
      <c r="H35" s="495">
        <v>81</v>
      </c>
      <c r="I35" s="495">
        <v>567.2</v>
      </c>
      <c r="J35" s="495" t="s">
        <v>0</v>
      </c>
      <c r="K35" s="495" t="s">
        <v>37</v>
      </c>
      <c r="L35" s="805">
        <v>485.3</v>
      </c>
      <c r="M35" s="815">
        <f>529.6-L35</f>
        <v>44.30000000000001</v>
      </c>
      <c r="N35" s="815"/>
      <c r="O35" s="815"/>
      <c r="P35" s="815"/>
      <c r="Q35" s="815"/>
      <c r="R35" s="815"/>
      <c r="S35" s="768"/>
      <c r="T35" s="818">
        <f>SUM(L35:S35)</f>
        <v>529.6</v>
      </c>
      <c r="U35" s="981">
        <f>T35+T36+T37</f>
        <v>755.5</v>
      </c>
      <c r="V35" s="768" t="s">
        <v>0</v>
      </c>
      <c r="W35" s="495"/>
    </row>
    <row r="36" spans="1:23" ht="48" customHeight="1">
      <c r="A36" s="495">
        <v>3</v>
      </c>
      <c r="B36" s="817" t="s">
        <v>319</v>
      </c>
      <c r="C36" s="495">
        <v>152</v>
      </c>
      <c r="D36" s="495">
        <v>13</v>
      </c>
      <c r="E36" s="495">
        <v>163.3</v>
      </c>
      <c r="F36" s="817" t="s">
        <v>0</v>
      </c>
      <c r="G36" s="495">
        <v>79</v>
      </c>
      <c r="H36" s="495">
        <v>81</v>
      </c>
      <c r="I36" s="495">
        <v>186.7</v>
      </c>
      <c r="J36" s="495" t="s">
        <v>45</v>
      </c>
      <c r="K36" s="495" t="s">
        <v>321</v>
      </c>
      <c r="L36" s="815">
        <f>163.3-38.6</f>
        <v>124.70000000000002</v>
      </c>
      <c r="M36" s="815">
        <f>145.9-L36</f>
        <v>21.19999999999999</v>
      </c>
      <c r="N36" s="815"/>
      <c r="O36" s="815"/>
      <c r="P36" s="815"/>
      <c r="Q36" s="815"/>
      <c r="R36" s="815"/>
      <c r="S36" s="768"/>
      <c r="T36" s="818">
        <f>SUM(L36:S36)</f>
        <v>145.9</v>
      </c>
      <c r="U36" s="982"/>
      <c r="V36" s="495" t="s">
        <v>0</v>
      </c>
      <c r="W36" s="495"/>
    </row>
    <row r="37" spans="1:23" ht="48" customHeight="1">
      <c r="A37" s="495">
        <v>3</v>
      </c>
      <c r="B37" s="817" t="s">
        <v>319</v>
      </c>
      <c r="C37" s="495"/>
      <c r="D37" s="495"/>
      <c r="E37" s="495"/>
      <c r="F37" s="817"/>
      <c r="G37" s="495">
        <v>73</v>
      </c>
      <c r="H37" s="495">
        <v>81</v>
      </c>
      <c r="I37" s="495">
        <v>439.8</v>
      </c>
      <c r="J37" s="495" t="s">
        <v>45</v>
      </c>
      <c r="K37" s="495" t="s">
        <v>37</v>
      </c>
      <c r="L37" s="815"/>
      <c r="M37" s="837"/>
      <c r="N37" s="815">
        <v>80</v>
      </c>
      <c r="O37" s="815"/>
      <c r="P37" s="815"/>
      <c r="Q37" s="815"/>
      <c r="R37" s="815"/>
      <c r="S37" s="768"/>
      <c r="T37" s="818">
        <f>SUM(L37:S37)</f>
        <v>80</v>
      </c>
      <c r="U37" s="982"/>
      <c r="V37" s="495" t="s">
        <v>45</v>
      </c>
      <c r="W37" s="495" t="s">
        <v>440</v>
      </c>
    </row>
    <row r="38" spans="1:23" ht="48" customHeight="1">
      <c r="A38" s="495">
        <v>4</v>
      </c>
      <c r="B38" s="817" t="s">
        <v>441</v>
      </c>
      <c r="C38" s="495"/>
      <c r="D38" s="495"/>
      <c r="E38" s="495"/>
      <c r="F38" s="817"/>
      <c r="G38" s="495">
        <v>73</v>
      </c>
      <c r="H38" s="495">
        <v>81</v>
      </c>
      <c r="I38" s="495">
        <v>439.8</v>
      </c>
      <c r="J38" s="495" t="s">
        <v>45</v>
      </c>
      <c r="K38" s="495" t="s">
        <v>37</v>
      </c>
      <c r="L38" s="815"/>
      <c r="M38" s="837"/>
      <c r="N38" s="815">
        <f>383.4-80</f>
        <v>303.4</v>
      </c>
      <c r="O38" s="815"/>
      <c r="P38" s="815"/>
      <c r="Q38" s="815"/>
      <c r="R38" s="815"/>
      <c r="S38" s="768"/>
      <c r="T38" s="818">
        <f>SUM(L38:S38)</f>
        <v>303.4</v>
      </c>
      <c r="U38" s="981">
        <f>T38+T39+T40</f>
        <v>404.5</v>
      </c>
      <c r="V38" s="768" t="s">
        <v>45</v>
      </c>
      <c r="W38" s="495" t="s">
        <v>440</v>
      </c>
    </row>
    <row r="39" spans="1:23" ht="48" customHeight="1">
      <c r="A39" s="495">
        <v>4</v>
      </c>
      <c r="B39" s="817" t="s">
        <v>441</v>
      </c>
      <c r="C39" s="495"/>
      <c r="D39" s="495"/>
      <c r="E39" s="495"/>
      <c r="F39" s="817"/>
      <c r="G39" s="495">
        <v>87</v>
      </c>
      <c r="H39" s="495">
        <v>81</v>
      </c>
      <c r="I39" s="517">
        <v>114.2</v>
      </c>
      <c r="J39" s="495" t="s">
        <v>45</v>
      </c>
      <c r="K39" s="495" t="s">
        <v>37</v>
      </c>
      <c r="L39" s="516"/>
      <c r="M39" s="815">
        <v>1.1</v>
      </c>
      <c r="N39" s="815"/>
      <c r="O39" s="815"/>
      <c r="P39" s="815"/>
      <c r="Q39" s="815"/>
      <c r="R39" s="815"/>
      <c r="S39" s="495"/>
      <c r="T39" s="818">
        <f>SUM(L39:S39)</f>
        <v>1.1</v>
      </c>
      <c r="U39" s="981"/>
      <c r="V39" s="768" t="s">
        <v>45</v>
      </c>
      <c r="W39" s="495"/>
    </row>
    <row r="40" spans="1:23" ht="48" customHeight="1">
      <c r="A40" s="495">
        <v>4</v>
      </c>
      <c r="B40" s="817" t="s">
        <v>441</v>
      </c>
      <c r="C40" s="495"/>
      <c r="D40" s="495"/>
      <c r="E40" s="495"/>
      <c r="F40" s="817"/>
      <c r="G40" s="495">
        <v>58</v>
      </c>
      <c r="H40" s="495">
        <v>81</v>
      </c>
      <c r="I40" s="495">
        <v>126.3</v>
      </c>
      <c r="J40" s="495" t="s">
        <v>45</v>
      </c>
      <c r="K40" s="495" t="s">
        <v>37</v>
      </c>
      <c r="L40" s="516"/>
      <c r="M40" s="815"/>
      <c r="N40" s="815">
        <v>100</v>
      </c>
      <c r="O40" s="815"/>
      <c r="P40" s="815"/>
      <c r="Q40" s="815"/>
      <c r="R40" s="815"/>
      <c r="S40" s="495"/>
      <c r="T40" s="818">
        <v>100</v>
      </c>
      <c r="U40" s="981"/>
      <c r="V40" s="768" t="s">
        <v>396</v>
      </c>
      <c r="W40" s="495"/>
    </row>
    <row r="41" spans="1:23" ht="48" customHeight="1">
      <c r="A41" s="495">
        <v>5</v>
      </c>
      <c r="B41" s="817" t="s">
        <v>230</v>
      </c>
      <c r="C41" s="495"/>
      <c r="D41" s="495"/>
      <c r="E41" s="495"/>
      <c r="F41" s="817"/>
      <c r="G41" s="495">
        <v>91</v>
      </c>
      <c r="H41" s="495">
        <v>81</v>
      </c>
      <c r="I41" s="495">
        <v>752.6</v>
      </c>
      <c r="J41" s="495" t="s">
        <v>0</v>
      </c>
      <c r="K41" s="495" t="s">
        <v>37</v>
      </c>
      <c r="L41" s="516"/>
      <c r="M41" s="495">
        <v>699.5</v>
      </c>
      <c r="N41" s="495"/>
      <c r="O41" s="495"/>
      <c r="P41" s="495"/>
      <c r="Q41" s="495"/>
      <c r="R41" s="495"/>
      <c r="S41" s="495"/>
      <c r="T41" s="818">
        <f>SUM(L41:S41)</f>
        <v>699.5</v>
      </c>
      <c r="U41" s="981">
        <f>SUM(T41:T44)</f>
        <v>1226.2</v>
      </c>
      <c r="V41" s="768" t="s">
        <v>0</v>
      </c>
      <c r="W41" s="495"/>
    </row>
    <row r="42" spans="1:23" ht="48" customHeight="1">
      <c r="A42" s="495">
        <v>5</v>
      </c>
      <c r="B42" s="817" t="s">
        <v>230</v>
      </c>
      <c r="C42" s="495"/>
      <c r="D42" s="495"/>
      <c r="E42" s="495"/>
      <c r="F42" s="817"/>
      <c r="G42" s="495">
        <v>55</v>
      </c>
      <c r="H42" s="495">
        <v>81</v>
      </c>
      <c r="I42" s="495">
        <v>252.3</v>
      </c>
      <c r="J42" s="495" t="s">
        <v>45</v>
      </c>
      <c r="K42" s="495" t="s">
        <v>37</v>
      </c>
      <c r="L42" s="516"/>
      <c r="M42" s="516"/>
      <c r="N42" s="495">
        <v>252.3</v>
      </c>
      <c r="O42" s="495"/>
      <c r="P42" s="495"/>
      <c r="Q42" s="495"/>
      <c r="R42" s="495"/>
      <c r="S42" s="495"/>
      <c r="T42" s="818">
        <f>SUM(L42:S42)</f>
        <v>252.3</v>
      </c>
      <c r="U42" s="982"/>
      <c r="V42" s="495" t="s">
        <v>45</v>
      </c>
      <c r="W42" s="495"/>
    </row>
    <row r="43" spans="1:23" ht="48" customHeight="1">
      <c r="A43" s="822">
        <v>5</v>
      </c>
      <c r="B43" s="838" t="s">
        <v>230</v>
      </c>
      <c r="C43" s="822"/>
      <c r="D43" s="822"/>
      <c r="E43" s="822"/>
      <c r="F43" s="838"/>
      <c r="G43" s="822">
        <v>75</v>
      </c>
      <c r="H43" s="822">
        <v>81</v>
      </c>
      <c r="I43" s="822">
        <v>183.4</v>
      </c>
      <c r="J43" s="822" t="s">
        <v>45</v>
      </c>
      <c r="K43" s="822" t="s">
        <v>37</v>
      </c>
      <c r="L43" s="824"/>
      <c r="M43" s="824"/>
      <c r="N43" s="822">
        <v>183.4</v>
      </c>
      <c r="O43" s="822"/>
      <c r="P43" s="822"/>
      <c r="Q43" s="822"/>
      <c r="R43" s="822"/>
      <c r="S43" s="822"/>
      <c r="T43" s="825">
        <f>SUM(L43:S43)</f>
        <v>183.4</v>
      </c>
      <c r="U43" s="982"/>
      <c r="V43" s="822" t="s">
        <v>45</v>
      </c>
      <c r="W43" s="822"/>
    </row>
    <row r="44" spans="1:23" ht="48" customHeight="1">
      <c r="A44" s="495">
        <v>6</v>
      </c>
      <c r="B44" s="817" t="s">
        <v>230</v>
      </c>
      <c r="C44" s="495"/>
      <c r="D44" s="495"/>
      <c r="E44" s="495"/>
      <c r="F44" s="817"/>
      <c r="G44" s="495">
        <v>76</v>
      </c>
      <c r="H44" s="495">
        <v>81</v>
      </c>
      <c r="I44" s="495">
        <v>109.9</v>
      </c>
      <c r="J44" s="495" t="s">
        <v>45</v>
      </c>
      <c r="K44" s="495" t="s">
        <v>37</v>
      </c>
      <c r="L44" s="516"/>
      <c r="M44" s="768">
        <v>91</v>
      </c>
      <c r="N44" s="495"/>
      <c r="O44" s="495"/>
      <c r="P44" s="495"/>
      <c r="Q44" s="495"/>
      <c r="R44" s="495"/>
      <c r="S44" s="495"/>
      <c r="T44" s="818">
        <f>SUM(L44:S44)</f>
        <v>91</v>
      </c>
      <c r="U44" s="982"/>
      <c r="V44" s="495" t="s">
        <v>45</v>
      </c>
      <c r="W44" s="495"/>
    </row>
    <row r="45" spans="1:23" ht="48" customHeight="1">
      <c r="A45" s="832">
        <v>7</v>
      </c>
      <c r="B45" s="839" t="s">
        <v>301</v>
      </c>
      <c r="C45" s="840"/>
      <c r="D45" s="840"/>
      <c r="E45" s="840"/>
      <c r="F45" s="832"/>
      <c r="G45" s="832">
        <v>26</v>
      </c>
      <c r="H45" s="841">
        <v>81</v>
      </c>
      <c r="I45" s="831">
        <v>110.8</v>
      </c>
      <c r="J45" s="832" t="s">
        <v>0</v>
      </c>
      <c r="K45" s="832" t="s">
        <v>37</v>
      </c>
      <c r="L45" s="831"/>
      <c r="M45" s="831">
        <v>110.8</v>
      </c>
      <c r="N45" s="831"/>
      <c r="O45" s="831"/>
      <c r="P45" s="831"/>
      <c r="Q45" s="831"/>
      <c r="R45" s="831"/>
      <c r="S45" s="832"/>
      <c r="T45" s="834">
        <v>110.8</v>
      </c>
      <c r="U45" s="835">
        <v>110.8</v>
      </c>
      <c r="V45" s="831" t="s">
        <v>0</v>
      </c>
      <c r="W45" s="832"/>
    </row>
  </sheetData>
  <sheetProtection/>
  <mergeCells count="41">
    <mergeCell ref="A1:W1"/>
    <mergeCell ref="A2:W2"/>
    <mergeCell ref="A3:W3"/>
    <mergeCell ref="A5:A6"/>
    <mergeCell ref="B5:B6"/>
    <mergeCell ref="C5:F5"/>
    <mergeCell ref="G5:J5"/>
    <mergeCell ref="K5:K6"/>
    <mergeCell ref="L5:R5"/>
    <mergeCell ref="T5:T6"/>
    <mergeCell ref="U5:U6"/>
    <mergeCell ref="V5:V6"/>
    <mergeCell ref="W5:W6"/>
    <mergeCell ref="A8:B8"/>
    <mergeCell ref="A9:B9"/>
    <mergeCell ref="U11:U13"/>
    <mergeCell ref="U16:U17"/>
    <mergeCell ref="U18:U19"/>
    <mergeCell ref="U22:U30"/>
    <mergeCell ref="A31:C31"/>
    <mergeCell ref="A33:A34"/>
    <mergeCell ref="B33:B34"/>
    <mergeCell ref="G33:G34"/>
    <mergeCell ref="H33:H34"/>
    <mergeCell ref="I33:I34"/>
    <mergeCell ref="J33:J34"/>
    <mergeCell ref="V33:V34"/>
    <mergeCell ref="W33:W34"/>
    <mergeCell ref="K33:K34"/>
    <mergeCell ref="L33:L34"/>
    <mergeCell ref="M33:M34"/>
    <mergeCell ref="N33:N34"/>
    <mergeCell ref="O33:O34"/>
    <mergeCell ref="Q33:Q34"/>
    <mergeCell ref="U35:U37"/>
    <mergeCell ref="U38:U40"/>
    <mergeCell ref="U41:U44"/>
    <mergeCell ref="R33:R34"/>
    <mergeCell ref="S33:S34"/>
    <mergeCell ref="T33:T34"/>
    <mergeCell ref="U33:U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2024-04-10T03:07:32Z</cp:lastPrinted>
  <dcterms:created xsi:type="dcterms:W3CDTF">2016-10-19T06:37:37Z</dcterms:created>
  <dcterms:modified xsi:type="dcterms:W3CDTF">2024-04-10T03:10:00Z</dcterms:modified>
  <cp:category/>
  <cp:version/>
  <cp:contentType/>
  <cp:contentStatus/>
</cp:coreProperties>
</file>