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11370" activeTab="3"/>
  </bookViews>
  <sheets>
    <sheet name="PA bồi thường" sheetId="1" r:id="rId1"/>
    <sheet name="DS THU HỒI" sheetId="8" r:id="rId2"/>
    <sheet name="TÀI SẢN" sheetId="4" r:id="rId3"/>
    <sheet name="Bảng tổng hợpKP (2)" sheetId="11" r:id="rId4"/>
    <sheet name="PA thưởng" sheetId="6" r:id="rId5"/>
  </sheets>
  <externalReferences>
    <externalReference r:id="rId6"/>
  </externalReferences>
  <definedNames>
    <definedName name="_xlnm._FilterDatabase" localSheetId="1" hidden="1">'DS THU HỒI'!$A$9:$AE$364</definedName>
    <definedName name="_xlnm._FilterDatabase" localSheetId="0" hidden="1">'PA bồi thường'!$A$9:$AP$463</definedName>
    <definedName name="_xlnm._FilterDatabase" localSheetId="4" hidden="1">'PA thưởng'!$A$9:$U$358</definedName>
    <definedName name="_xlnm._FilterDatabase" localSheetId="2" hidden="1">'TÀI SẢN'!$A$5:$Q$30</definedName>
    <definedName name="_xlnm.Print_Titles" localSheetId="3">'Bảng tổng hợpKP (2)'!$4:$5</definedName>
    <definedName name="_xlnm.Print_Titles" localSheetId="1">'DS THU HỒI'!$6:$9</definedName>
    <definedName name="_xlnm.Print_Titles" localSheetId="0">'PA bồi thường'!$6:$9</definedName>
    <definedName name="_xlnm.Print_Titles" localSheetId="4">'PA thưởng'!$6:$9</definedName>
    <definedName name="_xlnm.Print_Titles" localSheetId="2">'TÀI SẢN'!$4:$5</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9" i="11" l="1"/>
  <c r="D39" i="11"/>
  <c r="G25" i="11" l="1"/>
  <c r="D17" i="11"/>
  <c r="G17" i="11" s="1"/>
  <c r="AC10" i="1"/>
  <c r="G10" i="11"/>
  <c r="G11" i="11"/>
  <c r="G12" i="11"/>
  <c r="G9" i="11"/>
  <c r="G42" i="11"/>
  <c r="G41" i="11"/>
  <c r="G40" i="11"/>
  <c r="G38" i="11"/>
  <c r="G37" i="11"/>
  <c r="G36" i="11"/>
  <c r="G31" i="11"/>
  <c r="G32" i="11"/>
  <c r="G33" i="11"/>
  <c r="G34" i="11"/>
  <c r="G30" i="11"/>
  <c r="B30" i="11"/>
  <c r="B34" i="11"/>
  <c r="B33" i="11"/>
  <c r="B32" i="11"/>
  <c r="B31" i="11"/>
  <c r="G35" i="11" l="1"/>
  <c r="G8" i="11"/>
  <c r="G29" i="11"/>
  <c r="G28" i="11"/>
  <c r="D20" i="11"/>
  <c r="D18" i="11"/>
  <c r="K35" i="6"/>
  <c r="H10" i="6"/>
  <c r="J359" i="6"/>
  <c r="A73" i="6"/>
  <c r="A74" i="6" s="1"/>
  <c r="A75" i="6" s="1"/>
  <c r="A76" i="6" s="1"/>
  <c r="A19"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69" i="6"/>
  <c r="J170" i="6"/>
  <c r="J171" i="6"/>
  <c r="J172" i="6"/>
  <c r="J173" i="6"/>
  <c r="J174" i="6"/>
  <c r="J175" i="6"/>
  <c r="J176" i="6"/>
  <c r="J177" i="6"/>
  <c r="J178" i="6"/>
  <c r="J179" i="6"/>
  <c r="J180" i="6"/>
  <c r="J181" i="6"/>
  <c r="J182" i="6"/>
  <c r="J183" i="6"/>
  <c r="J184" i="6"/>
  <c r="J185" i="6"/>
  <c r="J186" i="6"/>
  <c r="J187" i="6"/>
  <c r="J188" i="6"/>
  <c r="J189" i="6"/>
  <c r="J190" i="6"/>
  <c r="J191" i="6"/>
  <c r="J192" i="6"/>
  <c r="J193" i="6"/>
  <c r="J194" i="6"/>
  <c r="J195" i="6"/>
  <c r="J196" i="6"/>
  <c r="J197" i="6"/>
  <c r="J198" i="6"/>
  <c r="J199" i="6"/>
  <c r="J200" i="6"/>
  <c r="J201" i="6"/>
  <c r="J202" i="6"/>
  <c r="J203" i="6"/>
  <c r="J204" i="6"/>
  <c r="J205" i="6"/>
  <c r="J206" i="6"/>
  <c r="J207" i="6"/>
  <c r="J208" i="6"/>
  <c r="J209" i="6"/>
  <c r="J210" i="6"/>
  <c r="J211" i="6"/>
  <c r="J212" i="6"/>
  <c r="J213" i="6"/>
  <c r="J214" i="6"/>
  <c r="J215" i="6"/>
  <c r="J216" i="6"/>
  <c r="J217" i="6"/>
  <c r="J218" i="6"/>
  <c r="J219" i="6"/>
  <c r="J220" i="6"/>
  <c r="J221" i="6"/>
  <c r="J222" i="6"/>
  <c r="J223" i="6"/>
  <c r="J224" i="6"/>
  <c r="J225" i="6"/>
  <c r="J226" i="6"/>
  <c r="J227" i="6"/>
  <c r="J228" i="6"/>
  <c r="J229" i="6"/>
  <c r="J230" i="6"/>
  <c r="J231" i="6"/>
  <c r="J232" i="6"/>
  <c r="J233" i="6"/>
  <c r="J234" i="6"/>
  <c r="J235" i="6"/>
  <c r="J236" i="6"/>
  <c r="J237" i="6"/>
  <c r="J238" i="6"/>
  <c r="J239" i="6"/>
  <c r="J240" i="6"/>
  <c r="J241" i="6"/>
  <c r="J242" i="6"/>
  <c r="J243" i="6"/>
  <c r="J244" i="6"/>
  <c r="J245" i="6"/>
  <c r="J246" i="6"/>
  <c r="J247" i="6"/>
  <c r="J248" i="6"/>
  <c r="J249" i="6"/>
  <c r="J250" i="6"/>
  <c r="J251" i="6"/>
  <c r="J252" i="6"/>
  <c r="J253" i="6"/>
  <c r="J254" i="6"/>
  <c r="J255" i="6"/>
  <c r="J256" i="6"/>
  <c r="J257" i="6"/>
  <c r="J258" i="6"/>
  <c r="J259" i="6"/>
  <c r="J260" i="6"/>
  <c r="J261" i="6"/>
  <c r="J262" i="6"/>
  <c r="J263" i="6"/>
  <c r="J264" i="6"/>
  <c r="J265" i="6"/>
  <c r="J266" i="6"/>
  <c r="J267" i="6"/>
  <c r="J268" i="6"/>
  <c r="J269" i="6"/>
  <c r="J270" i="6"/>
  <c r="J271" i="6"/>
  <c r="J272" i="6"/>
  <c r="J273" i="6"/>
  <c r="J274" i="6"/>
  <c r="J275" i="6"/>
  <c r="J276" i="6"/>
  <c r="J277" i="6"/>
  <c r="J278" i="6"/>
  <c r="J279" i="6"/>
  <c r="J280" i="6"/>
  <c r="J281" i="6"/>
  <c r="J282" i="6"/>
  <c r="J283" i="6"/>
  <c r="J284" i="6"/>
  <c r="J285" i="6"/>
  <c r="J286" i="6"/>
  <c r="J287" i="6"/>
  <c r="J288" i="6"/>
  <c r="J289" i="6"/>
  <c r="J290" i="6"/>
  <c r="J291" i="6"/>
  <c r="J292" i="6"/>
  <c r="J293" i="6"/>
  <c r="J294" i="6"/>
  <c r="J295" i="6"/>
  <c r="J296" i="6"/>
  <c r="J297" i="6"/>
  <c r="J298" i="6"/>
  <c r="J299" i="6"/>
  <c r="J300" i="6"/>
  <c r="J301" i="6"/>
  <c r="J302" i="6"/>
  <c r="J303" i="6"/>
  <c r="J304" i="6"/>
  <c r="J305" i="6"/>
  <c r="J306" i="6"/>
  <c r="J307" i="6"/>
  <c r="J308" i="6"/>
  <c r="J309" i="6"/>
  <c r="J310" i="6"/>
  <c r="J311" i="6"/>
  <c r="J312" i="6"/>
  <c r="J313" i="6"/>
  <c r="J314" i="6"/>
  <c r="J315" i="6"/>
  <c r="J316" i="6"/>
  <c r="J317" i="6"/>
  <c r="J318" i="6"/>
  <c r="J319" i="6"/>
  <c r="J320" i="6"/>
  <c r="J321" i="6"/>
  <c r="J322" i="6"/>
  <c r="J323" i="6"/>
  <c r="J324" i="6"/>
  <c r="J325" i="6"/>
  <c r="J326" i="6"/>
  <c r="J327" i="6"/>
  <c r="J328" i="6"/>
  <c r="J329" i="6"/>
  <c r="J330" i="6"/>
  <c r="J331" i="6"/>
  <c r="J332" i="6"/>
  <c r="J333" i="6"/>
  <c r="J334" i="6"/>
  <c r="J335" i="6"/>
  <c r="J336" i="6"/>
  <c r="J337" i="6"/>
  <c r="J338" i="6"/>
  <c r="J339" i="6"/>
  <c r="J340" i="6"/>
  <c r="J341" i="6"/>
  <c r="J342" i="6"/>
  <c r="J343" i="6"/>
  <c r="J344" i="6"/>
  <c r="J345" i="6"/>
  <c r="J346" i="6"/>
  <c r="J347" i="6"/>
  <c r="J348" i="6"/>
  <c r="J349" i="6"/>
  <c r="J350" i="6"/>
  <c r="J351" i="6"/>
  <c r="J352" i="6"/>
  <c r="J353" i="6"/>
  <c r="J354" i="6"/>
  <c r="J355" i="6"/>
  <c r="J356" i="6"/>
  <c r="J357" i="6"/>
  <c r="J358" i="6"/>
  <c r="J11" i="6"/>
  <c r="J10" i="6" l="1"/>
  <c r="K353" i="6"/>
  <c r="D21" i="11"/>
  <c r="G21" i="11" s="1"/>
  <c r="G18" i="11"/>
  <c r="G16" i="11" s="1"/>
  <c r="G20" i="11"/>
  <c r="P10" i="8"/>
  <c r="Q99" i="8"/>
  <c r="M10" i="8"/>
  <c r="P14" i="1"/>
  <c r="P16" i="1"/>
  <c r="AA16" i="1" s="1"/>
  <c r="P19" i="1"/>
  <c r="AA19" i="1" s="1"/>
  <c r="P20" i="1"/>
  <c r="AA20" i="1" s="1"/>
  <c r="P25" i="1"/>
  <c r="P27" i="1"/>
  <c r="P28" i="1"/>
  <c r="AA28" i="1" s="1"/>
  <c r="P29" i="1"/>
  <c r="P31" i="1"/>
  <c r="P32" i="1"/>
  <c r="AA32" i="1" s="1"/>
  <c r="P34" i="1"/>
  <c r="P35" i="1"/>
  <c r="P38" i="1"/>
  <c r="AA38" i="1" s="1"/>
  <c r="P39" i="1"/>
  <c r="AA39" i="1" s="1"/>
  <c r="P41" i="1"/>
  <c r="AA41" i="1" s="1"/>
  <c r="P42" i="1"/>
  <c r="AA42" i="1" s="1"/>
  <c r="P43" i="1"/>
  <c r="AA43" i="1" s="1"/>
  <c r="P44" i="1"/>
  <c r="P47" i="1"/>
  <c r="AA47" i="1" s="1"/>
  <c r="P48" i="1"/>
  <c r="P49" i="1"/>
  <c r="P50" i="1"/>
  <c r="AA50" i="1" s="1"/>
  <c r="P51" i="1"/>
  <c r="P52" i="1"/>
  <c r="AA52" i="1" s="1"/>
  <c r="P53" i="1"/>
  <c r="AA53" i="1" s="1"/>
  <c r="P54" i="1"/>
  <c r="AA54" i="1" s="1"/>
  <c r="P56" i="1"/>
  <c r="P58" i="1"/>
  <c r="AA58" i="1" s="1"/>
  <c r="P59" i="1"/>
  <c r="P60" i="1"/>
  <c r="AA60" i="1" s="1"/>
  <c r="P63" i="1"/>
  <c r="AA63" i="1" s="1"/>
  <c r="P67" i="1"/>
  <c r="AA67" i="1" s="1"/>
  <c r="P69" i="1"/>
  <c r="AA69" i="1" s="1"/>
  <c r="P71" i="1"/>
  <c r="AA71" i="1" s="1"/>
  <c r="P72" i="1"/>
  <c r="AA72" i="1" s="1"/>
  <c r="P73" i="1"/>
  <c r="AA73" i="1" s="1"/>
  <c r="P74" i="1"/>
  <c r="AA74" i="1" s="1"/>
  <c r="P75" i="1"/>
  <c r="AA75" i="1" s="1"/>
  <c r="P85" i="1"/>
  <c r="P88" i="1"/>
  <c r="P89" i="1"/>
  <c r="P91" i="1"/>
  <c r="AA91" i="1" s="1"/>
  <c r="P96" i="1"/>
  <c r="AA96" i="1" s="1"/>
  <c r="P98" i="1"/>
  <c r="AA98" i="1" s="1"/>
  <c r="P99" i="1"/>
  <c r="P100" i="1"/>
  <c r="AA100" i="1" s="1"/>
  <c r="P101" i="1"/>
  <c r="P102" i="1"/>
  <c r="AA102" i="1" s="1"/>
  <c r="P103" i="1"/>
  <c r="P108" i="1"/>
  <c r="P109" i="1"/>
  <c r="P112" i="1"/>
  <c r="P115" i="1"/>
  <c r="AA115" i="1" s="1"/>
  <c r="P118" i="1"/>
  <c r="AA118" i="1" s="1"/>
  <c r="P120" i="1"/>
  <c r="AA120" i="1" s="1"/>
  <c r="P121" i="1"/>
  <c r="AA121" i="1" s="1"/>
  <c r="P124" i="1"/>
  <c r="AA124" i="1" s="1"/>
  <c r="P127" i="1"/>
  <c r="P131" i="1"/>
  <c r="P143" i="1"/>
  <c r="P146" i="1"/>
  <c r="P148" i="1"/>
  <c r="AA148" i="1" s="1"/>
  <c r="P149" i="1"/>
  <c r="AA149" i="1" s="1"/>
  <c r="P152" i="1"/>
  <c r="P154" i="1"/>
  <c r="P156" i="1"/>
  <c r="P158" i="1"/>
  <c r="P161" i="1"/>
  <c r="AA161" i="1" s="1"/>
  <c r="P162" i="1"/>
  <c r="AA162" i="1" s="1"/>
  <c r="P164" i="1"/>
  <c r="AA164" i="1" s="1"/>
  <c r="P165" i="1"/>
  <c r="AA165" i="1" s="1"/>
  <c r="P169" i="1"/>
  <c r="AA169" i="1" s="1"/>
  <c r="P170" i="1"/>
  <c r="AA170" i="1" s="1"/>
  <c r="P173" i="1"/>
  <c r="AA173" i="1" s="1"/>
  <c r="P175" i="1"/>
  <c r="P176" i="1"/>
  <c r="AA176" i="1" s="1"/>
  <c r="P177" i="1"/>
  <c r="AA177" i="1" s="1"/>
  <c r="P178" i="1"/>
  <c r="P179" i="1"/>
  <c r="P180" i="1"/>
  <c r="AA180" i="1" s="1"/>
  <c r="P181" i="1"/>
  <c r="AA181" i="1" s="1"/>
  <c r="P183" i="1"/>
  <c r="AA183" i="1" s="1"/>
  <c r="P186" i="1"/>
  <c r="P187" i="1"/>
  <c r="P189" i="1"/>
  <c r="P192" i="1"/>
  <c r="AA192" i="1" s="1"/>
  <c r="P193" i="1"/>
  <c r="AA193" i="1" s="1"/>
  <c r="P197" i="1"/>
  <c r="AA197" i="1" s="1"/>
  <c r="P200" i="1"/>
  <c r="P203" i="1"/>
  <c r="P204" i="1"/>
  <c r="AA204" i="1" s="1"/>
  <c r="P205" i="1"/>
  <c r="AA205" i="1" s="1"/>
  <c r="P207" i="1"/>
  <c r="P211" i="1"/>
  <c r="P214" i="1"/>
  <c r="AA214" i="1" s="1"/>
  <c r="P215" i="1"/>
  <c r="AA215" i="1" s="1"/>
  <c r="P216" i="1"/>
  <c r="P218" i="1"/>
  <c r="AA218" i="1" s="1"/>
  <c r="P219" i="1"/>
  <c r="AA219" i="1" s="1"/>
  <c r="P223" i="1"/>
  <c r="AA223" i="1" s="1"/>
  <c r="P225" i="1"/>
  <c r="AA225" i="1" s="1"/>
  <c r="P231" i="1"/>
  <c r="AA231" i="1" s="1"/>
  <c r="P236" i="1"/>
  <c r="P239" i="1"/>
  <c r="AA239" i="1" s="1"/>
  <c r="P241" i="1"/>
  <c r="AA241" i="1" s="1"/>
  <c r="P244" i="1"/>
  <c r="AA244" i="1" s="1"/>
  <c r="P245" i="1"/>
  <c r="AA245" i="1" s="1"/>
  <c r="P254" i="1"/>
  <c r="AA254" i="1" s="1"/>
  <c r="P256" i="1"/>
  <c r="P257" i="1"/>
  <c r="AA257" i="1" s="1"/>
  <c r="P259" i="1"/>
  <c r="P261" i="1"/>
  <c r="AA261" i="1" s="1"/>
  <c r="P262" i="1"/>
  <c r="P264" i="1"/>
  <c r="AA264" i="1" s="1"/>
  <c r="P267" i="1"/>
  <c r="P269" i="1"/>
  <c r="AA269" i="1" s="1"/>
  <c r="P271" i="1"/>
  <c r="P273" i="1"/>
  <c r="P274" i="1"/>
  <c r="P275" i="1"/>
  <c r="AA275" i="1" s="1"/>
  <c r="P276" i="1"/>
  <c r="P277" i="1"/>
  <c r="AA277" i="1" s="1"/>
  <c r="P278" i="1"/>
  <c r="AA278" i="1" s="1"/>
  <c r="P285" i="1"/>
  <c r="AA285" i="1" s="1"/>
  <c r="P292" i="1"/>
  <c r="AA292" i="1" s="1"/>
  <c r="P298" i="1"/>
  <c r="AA298" i="1" s="1"/>
  <c r="P299" i="1"/>
  <c r="P300" i="1"/>
  <c r="AA300" i="1" s="1"/>
  <c r="P305" i="1"/>
  <c r="P308" i="1"/>
  <c r="AA308" i="1" s="1"/>
  <c r="P311" i="1"/>
  <c r="P314" i="1"/>
  <c r="P319" i="1"/>
  <c r="AA319" i="1" s="1"/>
  <c r="P320" i="1"/>
  <c r="AA320" i="1" s="1"/>
  <c r="P321" i="1"/>
  <c r="AA321" i="1" s="1"/>
  <c r="P322" i="1"/>
  <c r="AA322" i="1" s="1"/>
  <c r="P325" i="1"/>
  <c r="P327" i="1"/>
  <c r="AA327" i="1" s="1"/>
  <c r="P330" i="1"/>
  <c r="P332" i="1"/>
  <c r="P333" i="1"/>
  <c r="P335" i="1"/>
  <c r="AA335" i="1" s="1"/>
  <c r="P336" i="1"/>
  <c r="P340" i="1"/>
  <c r="AA340" i="1" s="1"/>
  <c r="P343" i="1"/>
  <c r="AA343" i="1" s="1"/>
  <c r="P345" i="1"/>
  <c r="P346" i="1"/>
  <c r="AA346" i="1" s="1"/>
  <c r="P348" i="1"/>
  <c r="P350" i="1"/>
  <c r="P352" i="1"/>
  <c r="P354" i="1"/>
  <c r="P356" i="1"/>
  <c r="P358" i="1"/>
  <c r="P361" i="1"/>
  <c r="AA361" i="1" s="1"/>
  <c r="P363" i="1"/>
  <c r="AA363" i="1" s="1"/>
  <c r="P364" i="1"/>
  <c r="AA364" i="1" s="1"/>
  <c r="P366" i="1"/>
  <c r="P368" i="1"/>
  <c r="AA368" i="1" s="1"/>
  <c r="P370" i="1"/>
  <c r="AA370" i="1" s="1"/>
  <c r="P376" i="1"/>
  <c r="P378" i="1"/>
  <c r="P380" i="1"/>
  <c r="P381" i="1"/>
  <c r="AA381" i="1" s="1"/>
  <c r="P382" i="1"/>
  <c r="AA382" i="1" s="1"/>
  <c r="P384" i="1"/>
  <c r="AA384" i="1" s="1"/>
  <c r="P385" i="1"/>
  <c r="AA385" i="1" s="1"/>
  <c r="P386" i="1"/>
  <c r="P388" i="1"/>
  <c r="P390" i="1"/>
  <c r="P392" i="1"/>
  <c r="P393" i="1"/>
  <c r="P394" i="1"/>
  <c r="AA394" i="1" s="1"/>
  <c r="P395" i="1"/>
  <c r="P397" i="1"/>
  <c r="AA397" i="1" s="1"/>
  <c r="P398" i="1"/>
  <c r="AA398" i="1" s="1"/>
  <c r="P399" i="1"/>
  <c r="AA399" i="1" s="1"/>
  <c r="P401" i="1"/>
  <c r="AA401" i="1" s="1"/>
  <c r="P402" i="1"/>
  <c r="AA402" i="1" s="1"/>
  <c r="P403" i="1"/>
  <c r="P405" i="1"/>
  <c r="AA405" i="1" s="1"/>
  <c r="P409" i="1"/>
  <c r="AA409" i="1" s="1"/>
  <c r="P415" i="1"/>
  <c r="P421" i="1"/>
  <c r="AA421" i="1" s="1"/>
  <c r="P422" i="1"/>
  <c r="AA422" i="1" s="1"/>
  <c r="P425" i="1"/>
  <c r="AA425" i="1" s="1"/>
  <c r="P426" i="1"/>
  <c r="AA426" i="1" s="1"/>
  <c r="P428" i="1"/>
  <c r="P429" i="1"/>
  <c r="P431" i="1"/>
  <c r="P432" i="1"/>
  <c r="AA432" i="1" s="1"/>
  <c r="P435" i="1"/>
  <c r="P436" i="1"/>
  <c r="AA436" i="1" s="1"/>
  <c r="P437" i="1"/>
  <c r="P438" i="1"/>
  <c r="AA438" i="1" s="1"/>
  <c r="P440" i="1"/>
  <c r="P442" i="1"/>
  <c r="P452" i="1"/>
  <c r="AA452" i="1" s="1"/>
  <c r="P453" i="1"/>
  <c r="P454" i="1"/>
  <c r="AA454" i="1" s="1"/>
  <c r="P456" i="1"/>
  <c r="P458" i="1"/>
  <c r="P461" i="1"/>
  <c r="P11" i="1"/>
  <c r="AA11" i="1" s="1"/>
  <c r="S12" i="8"/>
  <c r="S13" i="8"/>
  <c r="S14" i="8"/>
  <c r="S16" i="8"/>
  <c r="S17" i="8"/>
  <c r="S18" i="8"/>
  <c r="S19" i="8"/>
  <c r="S20" i="8"/>
  <c r="S21" i="8"/>
  <c r="S22" i="8"/>
  <c r="S23" i="8"/>
  <c r="S24" i="8"/>
  <c r="S25" i="8"/>
  <c r="S26" i="8"/>
  <c r="S27" i="8"/>
  <c r="S28" i="8"/>
  <c r="S29" i="8"/>
  <c r="S30" i="8"/>
  <c r="S31" i="8"/>
  <c r="S32" i="8"/>
  <c r="S36" i="8"/>
  <c r="S37" i="8"/>
  <c r="S38" i="8"/>
  <c r="S39" i="8"/>
  <c r="S43" i="8"/>
  <c r="S44" i="8"/>
  <c r="S46" i="8"/>
  <c r="S47" i="8"/>
  <c r="S48" i="8"/>
  <c r="S49" i="8"/>
  <c r="S50" i="8"/>
  <c r="S51" i="8"/>
  <c r="S52" i="8"/>
  <c r="S53" i="8"/>
  <c r="S54" i="8"/>
  <c r="S55" i="8"/>
  <c r="S56" i="8"/>
  <c r="S57" i="8"/>
  <c r="S58" i="8"/>
  <c r="S59" i="8"/>
  <c r="S60" i="8"/>
  <c r="S61" i="8"/>
  <c r="S62" i="8"/>
  <c r="S63" i="8"/>
  <c r="S64" i="8"/>
  <c r="S65" i="8"/>
  <c r="S66" i="8"/>
  <c r="S67" i="8"/>
  <c r="S68" i="8"/>
  <c r="S69" i="8"/>
  <c r="S70" i="8"/>
  <c r="S71" i="8"/>
  <c r="S72" i="8"/>
  <c r="S73" i="8"/>
  <c r="S74" i="8"/>
  <c r="S75" i="8"/>
  <c r="S76" i="8"/>
  <c r="S77" i="8"/>
  <c r="S78" i="8"/>
  <c r="S80" i="8"/>
  <c r="S82" i="8"/>
  <c r="S83" i="8"/>
  <c r="S84" i="8"/>
  <c r="S85" i="8"/>
  <c r="S86" i="8"/>
  <c r="S87" i="8"/>
  <c r="S88" i="8"/>
  <c r="S89" i="8"/>
  <c r="S90" i="8"/>
  <c r="S91" i="8"/>
  <c r="S92" i="8"/>
  <c r="S93" i="8"/>
  <c r="S94" i="8"/>
  <c r="S95" i="8"/>
  <c r="S96" i="8"/>
  <c r="S97" i="8"/>
  <c r="S98" i="8"/>
  <c r="S100" i="8"/>
  <c r="S101" i="8"/>
  <c r="S102" i="8"/>
  <c r="S103" i="8"/>
  <c r="S104" i="8"/>
  <c r="S105" i="8"/>
  <c r="S106" i="8"/>
  <c r="S107" i="8"/>
  <c r="S108" i="8"/>
  <c r="S109" i="8"/>
  <c r="S110" i="8"/>
  <c r="S111" i="8"/>
  <c r="S112" i="8"/>
  <c r="S113" i="8"/>
  <c r="S114" i="8"/>
  <c r="S115" i="8"/>
  <c r="S116" i="8"/>
  <c r="S117" i="8"/>
  <c r="S118" i="8"/>
  <c r="S119" i="8"/>
  <c r="S120" i="8"/>
  <c r="S121" i="8"/>
  <c r="S122" i="8"/>
  <c r="S123" i="8"/>
  <c r="S124" i="8"/>
  <c r="S125" i="8"/>
  <c r="S126" i="8"/>
  <c r="S127" i="8"/>
  <c r="S128" i="8"/>
  <c r="S129" i="8"/>
  <c r="S131" i="8"/>
  <c r="S132" i="8"/>
  <c r="S133" i="8"/>
  <c r="S134" i="8"/>
  <c r="S135" i="8"/>
  <c r="S136" i="8"/>
  <c r="S137" i="8"/>
  <c r="S138" i="8"/>
  <c r="S139" i="8"/>
  <c r="S141" i="8"/>
  <c r="S144" i="8"/>
  <c r="S146" i="8"/>
  <c r="S147" i="8"/>
  <c r="S148" i="8"/>
  <c r="S149" i="8"/>
  <c r="S150" i="8"/>
  <c r="S151" i="8"/>
  <c r="S152" i="8"/>
  <c r="S153" i="8"/>
  <c r="S154" i="8"/>
  <c r="S155" i="8"/>
  <c r="S156" i="8"/>
  <c r="S157" i="8"/>
  <c r="S158" i="8"/>
  <c r="S159" i="8"/>
  <c r="S160" i="8"/>
  <c r="S161" i="8"/>
  <c r="S162" i="8"/>
  <c r="S163" i="8"/>
  <c r="S164" i="8"/>
  <c r="S165" i="8"/>
  <c r="S166" i="8"/>
  <c r="S167" i="8"/>
  <c r="S168" i="8"/>
  <c r="S169" i="8"/>
  <c r="S170" i="8"/>
  <c r="S171" i="8"/>
  <c r="S172" i="8"/>
  <c r="S173" i="8"/>
  <c r="S174" i="8"/>
  <c r="S175" i="8"/>
  <c r="S176" i="8"/>
  <c r="S177" i="8"/>
  <c r="S178" i="8"/>
  <c r="S179" i="8"/>
  <c r="S180" i="8"/>
  <c r="S181" i="8"/>
  <c r="S182" i="8"/>
  <c r="S183" i="8"/>
  <c r="S184" i="8"/>
  <c r="S185" i="8"/>
  <c r="S186" i="8"/>
  <c r="S187" i="8"/>
  <c r="S188" i="8"/>
  <c r="S190" i="8"/>
  <c r="S191" i="8"/>
  <c r="S192" i="8"/>
  <c r="S193" i="8"/>
  <c r="S196" i="8"/>
  <c r="S197" i="8"/>
  <c r="S198" i="8"/>
  <c r="S199" i="8"/>
  <c r="S200" i="8"/>
  <c r="S201" i="8"/>
  <c r="S202" i="8"/>
  <c r="S203" i="8"/>
  <c r="S205" i="8"/>
  <c r="S206" i="8"/>
  <c r="S207" i="8"/>
  <c r="S208" i="8"/>
  <c r="S209" i="8"/>
  <c r="S210" i="8"/>
  <c r="S211" i="8"/>
  <c r="S212" i="8"/>
  <c r="S213" i="8"/>
  <c r="S214" i="8"/>
  <c r="S215" i="8"/>
  <c r="S216" i="8"/>
  <c r="S217" i="8"/>
  <c r="S218" i="8"/>
  <c r="S221" i="8"/>
  <c r="S222" i="8"/>
  <c r="S223" i="8"/>
  <c r="S224" i="8"/>
  <c r="S225" i="8"/>
  <c r="S226" i="8"/>
  <c r="S227" i="8"/>
  <c r="S228" i="8"/>
  <c r="S229" i="8"/>
  <c r="S230" i="8"/>
  <c r="S231" i="8"/>
  <c r="S232" i="8"/>
  <c r="S233" i="8"/>
  <c r="S234" i="8"/>
  <c r="S235" i="8"/>
  <c r="S236" i="8"/>
  <c r="S237" i="8"/>
  <c r="S238" i="8"/>
  <c r="S239" i="8"/>
  <c r="S240" i="8"/>
  <c r="S241" i="8"/>
  <c r="S242" i="8"/>
  <c r="S243" i="8"/>
  <c r="S244" i="8"/>
  <c r="S245" i="8"/>
  <c r="S246" i="8"/>
  <c r="S247" i="8"/>
  <c r="S248" i="8"/>
  <c r="S249" i="8"/>
  <c r="S250" i="8"/>
  <c r="S251" i="8"/>
  <c r="S252" i="8"/>
  <c r="S253" i="8"/>
  <c r="S254" i="8"/>
  <c r="S255" i="8"/>
  <c r="S256" i="8"/>
  <c r="S257" i="8"/>
  <c r="S260" i="8"/>
  <c r="S261" i="8"/>
  <c r="S262" i="8"/>
  <c r="S263" i="8"/>
  <c r="S264" i="8"/>
  <c r="S265" i="8"/>
  <c r="S266" i="8"/>
  <c r="S267" i="8"/>
  <c r="S268" i="8"/>
  <c r="S269" i="8"/>
  <c r="S270" i="8"/>
  <c r="S271" i="8"/>
  <c r="S272" i="8"/>
  <c r="S273" i="8"/>
  <c r="S275" i="8"/>
  <c r="S276" i="8"/>
  <c r="S277" i="8"/>
  <c r="S278" i="8"/>
  <c r="S279" i="8"/>
  <c r="S280" i="8"/>
  <c r="S281" i="8"/>
  <c r="S282" i="8"/>
  <c r="S283" i="8"/>
  <c r="S284" i="8"/>
  <c r="S285" i="8"/>
  <c r="S286" i="8"/>
  <c r="S287" i="8"/>
  <c r="S288" i="8"/>
  <c r="S290" i="8"/>
  <c r="S291" i="8"/>
  <c r="S293" i="8"/>
  <c r="S294" i="8"/>
  <c r="S295" i="8"/>
  <c r="S296" i="8"/>
  <c r="S297" i="8"/>
  <c r="S298" i="8"/>
  <c r="S299" i="8"/>
  <c r="S300" i="8"/>
  <c r="S301" i="8"/>
  <c r="S302" i="8"/>
  <c r="S303" i="8"/>
  <c r="S304" i="8"/>
  <c r="S305" i="8"/>
  <c r="S306" i="8"/>
  <c r="S307" i="8"/>
  <c r="S308" i="8"/>
  <c r="S309" i="8"/>
  <c r="S310" i="8"/>
  <c r="S311" i="8"/>
  <c r="S312" i="8"/>
  <c r="S313" i="8"/>
  <c r="S314" i="8"/>
  <c r="S315" i="8"/>
  <c r="S316" i="8"/>
  <c r="S317" i="8"/>
  <c r="S318" i="8"/>
  <c r="S319" i="8"/>
  <c r="S320" i="8"/>
  <c r="S321" i="8"/>
  <c r="S322" i="8"/>
  <c r="S323" i="8"/>
  <c r="S324" i="8"/>
  <c r="S325" i="8"/>
  <c r="S326" i="8"/>
  <c r="S327" i="8"/>
  <c r="S328" i="8"/>
  <c r="S329" i="8"/>
  <c r="S330" i="8"/>
  <c r="S331" i="8"/>
  <c r="S332" i="8"/>
  <c r="S333" i="8"/>
  <c r="S334" i="8"/>
  <c r="S335" i="8"/>
  <c r="S336" i="8"/>
  <c r="S339" i="8"/>
  <c r="S340" i="8"/>
  <c r="S341" i="8"/>
  <c r="S342" i="8"/>
  <c r="S343" i="8"/>
  <c r="S344" i="8"/>
  <c r="S345" i="8"/>
  <c r="S346" i="8"/>
  <c r="S347" i="8"/>
  <c r="S348" i="8"/>
  <c r="S349" i="8"/>
  <c r="S350" i="8"/>
  <c r="S351" i="8"/>
  <c r="S352" i="8"/>
  <c r="S353" i="8"/>
  <c r="S354" i="8"/>
  <c r="S355" i="8"/>
  <c r="S356" i="8"/>
  <c r="S357" i="8"/>
  <c r="S358" i="8"/>
  <c r="S360" i="8"/>
  <c r="S361" i="8"/>
  <c r="S362" i="8"/>
  <c r="S363" i="8"/>
  <c r="S364" i="8"/>
  <c r="S11" i="8"/>
  <c r="K364" i="8"/>
  <c r="L364" i="8" s="1"/>
  <c r="Q364" i="8" s="1"/>
  <c r="L363" i="8"/>
  <c r="Q363" i="8" s="1"/>
  <c r="K362" i="8"/>
  <c r="L362" i="8" s="1"/>
  <c r="Q362" i="8" s="1"/>
  <c r="L361" i="8"/>
  <c r="Q361" i="8" s="1"/>
  <c r="K360" i="8"/>
  <c r="Q359" i="8"/>
  <c r="Q358" i="8"/>
  <c r="Q357" i="8"/>
  <c r="K356" i="8"/>
  <c r="K355" i="8"/>
  <c r="L355" i="8" s="1"/>
  <c r="Q355" i="8" s="1"/>
  <c r="L354" i="8"/>
  <c r="Q354" i="8" s="1"/>
  <c r="L353" i="8"/>
  <c r="K353" i="8"/>
  <c r="L352" i="8"/>
  <c r="Q352" i="8" s="1"/>
  <c r="K351" i="8"/>
  <c r="L351" i="8" s="1"/>
  <c r="L350" i="8"/>
  <c r="Q350" i="8" s="1"/>
  <c r="K349" i="8"/>
  <c r="L349" i="8" s="1"/>
  <c r="Q349" i="8" s="1"/>
  <c r="L348" i="8"/>
  <c r="Q348" i="8" s="1"/>
  <c r="K347" i="8"/>
  <c r="L346" i="8"/>
  <c r="Q346" i="8" s="1"/>
  <c r="Q345" i="8"/>
  <c r="Q344" i="8"/>
  <c r="L343" i="8"/>
  <c r="K343" i="8"/>
  <c r="L342" i="8"/>
  <c r="Q342" i="8" s="1"/>
  <c r="Q341" i="8"/>
  <c r="O340" i="8"/>
  <c r="K340" i="8"/>
  <c r="L340" i="8" s="1"/>
  <c r="L339" i="8"/>
  <c r="Q339" i="8" s="1"/>
  <c r="Q338" i="8"/>
  <c r="Q337" i="8"/>
  <c r="L336" i="8"/>
  <c r="Q336" i="8" s="1"/>
  <c r="L335" i="8"/>
  <c r="Q335" i="8" s="1"/>
  <c r="Q334" i="8"/>
  <c r="Q333" i="8"/>
  <c r="L332" i="8"/>
  <c r="Q332" i="8" s="1"/>
  <c r="L331" i="8"/>
  <c r="K331" i="8"/>
  <c r="K330" i="8"/>
  <c r="L330" i="8" s="1"/>
  <c r="K329" i="8"/>
  <c r="Q329" i="8" s="1"/>
  <c r="L328" i="8"/>
  <c r="Q328" i="8" s="1"/>
  <c r="K327" i="8"/>
  <c r="L327" i="8" s="1"/>
  <c r="K326" i="8"/>
  <c r="L326" i="8" s="1"/>
  <c r="Q326" i="8" s="1"/>
  <c r="K325" i="8"/>
  <c r="L325" i="8" s="1"/>
  <c r="L324" i="8"/>
  <c r="K324" i="8"/>
  <c r="L323" i="8"/>
  <c r="Q323" i="8" s="1"/>
  <c r="Q322" i="8"/>
  <c r="L321" i="8"/>
  <c r="Q321" i="8" s="1"/>
  <c r="K320" i="8"/>
  <c r="L320" i="8" s="1"/>
  <c r="Q320" i="8" s="1"/>
  <c r="K319" i="8"/>
  <c r="L319" i="8" s="1"/>
  <c r="Q319" i="8" s="1"/>
  <c r="K318" i="8"/>
  <c r="L318" i="8" s="1"/>
  <c r="Q318" i="8" s="1"/>
  <c r="Q317" i="8"/>
  <c r="Q316" i="8"/>
  <c r="K315" i="8"/>
  <c r="Q314" i="8"/>
  <c r="Q313" i="8"/>
  <c r="K312" i="8"/>
  <c r="L312" i="8" s="1"/>
  <c r="Q312" i="8" s="1"/>
  <c r="Q311" i="8"/>
  <c r="R311" i="8" s="1"/>
  <c r="L310" i="8"/>
  <c r="K310" i="8"/>
  <c r="L309" i="8"/>
  <c r="Q309" i="8" s="1"/>
  <c r="L308" i="8"/>
  <c r="K308" i="8"/>
  <c r="Q307" i="8"/>
  <c r="Q306" i="8"/>
  <c r="K305" i="8"/>
  <c r="L305" i="8" s="1"/>
  <c r="Q305" i="8" s="1"/>
  <c r="Q304" i="8"/>
  <c r="Q303" i="8"/>
  <c r="L302" i="8"/>
  <c r="Q302" i="8" s="1"/>
  <c r="K301" i="8"/>
  <c r="L301" i="8" s="1"/>
  <c r="K300" i="8"/>
  <c r="L300" i="8" s="1"/>
  <c r="K299" i="8"/>
  <c r="K298" i="8"/>
  <c r="K297" i="8"/>
  <c r="L297" i="8" s="1"/>
  <c r="K296" i="8"/>
  <c r="L296" i="8" s="1"/>
  <c r="Q296" i="8" s="1"/>
  <c r="R296" i="8" s="1"/>
  <c r="K295" i="8"/>
  <c r="L295" i="8" s="1"/>
  <c r="K294" i="8"/>
  <c r="L294" i="8" s="1"/>
  <c r="Q294" i="8" s="1"/>
  <c r="K293" i="8"/>
  <c r="L293" i="8" s="1"/>
  <c r="Q293" i="8" s="1"/>
  <c r="Q292" i="8"/>
  <c r="Q291" i="8"/>
  <c r="K290" i="8"/>
  <c r="L290" i="8" s="1"/>
  <c r="Q289" i="8"/>
  <c r="K288" i="8"/>
  <c r="L288" i="8" s="1"/>
  <c r="L287" i="8"/>
  <c r="Q287" i="8" s="1"/>
  <c r="L286" i="8"/>
  <c r="Q286" i="8" s="1"/>
  <c r="L285" i="8"/>
  <c r="Q285" i="8" s="1"/>
  <c r="K284" i="8"/>
  <c r="L284" i="8" s="1"/>
  <c r="K283" i="8"/>
  <c r="L283" i="8" s="1"/>
  <c r="Q283" i="8" s="1"/>
  <c r="K282" i="8"/>
  <c r="L282" i="8" s="1"/>
  <c r="K281" i="8"/>
  <c r="L281" i="8" s="1"/>
  <c r="Q281" i="8" s="1"/>
  <c r="Q280" i="8"/>
  <c r="K279" i="8"/>
  <c r="L279" i="8" s="1"/>
  <c r="Q278" i="8"/>
  <c r="K277" i="8"/>
  <c r="K276" i="8"/>
  <c r="L276" i="8" s="1"/>
  <c r="Q275" i="8"/>
  <c r="K274" i="8"/>
  <c r="Q274" i="8" s="1"/>
  <c r="N273" i="8"/>
  <c r="Q273" i="8" s="1"/>
  <c r="L272" i="8"/>
  <c r="Q272" i="8" s="1"/>
  <c r="Q271" i="8"/>
  <c r="Q270" i="8"/>
  <c r="L269" i="8"/>
  <c r="Q269" i="8" s="1"/>
  <c r="Q268" i="8"/>
  <c r="L267" i="8"/>
  <c r="Q267" i="8" s="1"/>
  <c r="K265" i="8"/>
  <c r="L264" i="8"/>
  <c r="Q264" i="8" s="1"/>
  <c r="Q263" i="8"/>
  <c r="L262" i="8"/>
  <c r="Q262" i="8" s="1"/>
  <c r="K261" i="8"/>
  <c r="L260" i="8"/>
  <c r="Q260" i="8" s="1"/>
  <c r="Q259" i="8"/>
  <c r="Q258" i="8"/>
  <c r="Q257" i="8"/>
  <c r="Q256" i="8"/>
  <c r="L255" i="8"/>
  <c r="Q255" i="8" s="1"/>
  <c r="K254" i="8"/>
  <c r="K253" i="8"/>
  <c r="L253" i="8" s="1"/>
  <c r="Q253" i="8" s="1"/>
  <c r="O252" i="8"/>
  <c r="Q252" i="8" s="1"/>
  <c r="K251" i="8"/>
  <c r="L251" i="8" s="1"/>
  <c r="K250" i="8"/>
  <c r="L250" i="8" s="1"/>
  <c r="L249" i="8"/>
  <c r="K249" i="8"/>
  <c r="L248" i="8"/>
  <c r="Q248" i="8" s="1"/>
  <c r="K247" i="8"/>
  <c r="L247" i="8" s="1"/>
  <c r="K246" i="8"/>
  <c r="K245" i="8"/>
  <c r="K244" i="8"/>
  <c r="L243" i="8"/>
  <c r="Q243" i="8" s="1"/>
  <c r="K242" i="8"/>
  <c r="Q241" i="8"/>
  <c r="R241" i="8" s="1"/>
  <c r="Q240" i="8"/>
  <c r="L239" i="8"/>
  <c r="Q239" i="8" s="1"/>
  <c r="K238" i="8"/>
  <c r="L238" i="8" s="1"/>
  <c r="K237" i="8"/>
  <c r="L237" i="8" s="1"/>
  <c r="K236" i="8"/>
  <c r="L236" i="8" s="1"/>
  <c r="L235" i="8"/>
  <c r="K235" i="8"/>
  <c r="Q234" i="8"/>
  <c r="K233" i="8"/>
  <c r="K232" i="8"/>
  <c r="L232" i="8" s="1"/>
  <c r="K231" i="8"/>
  <c r="L231" i="8" s="1"/>
  <c r="L230" i="8"/>
  <c r="Q230" i="8" s="1"/>
  <c r="L229" i="8"/>
  <c r="K229" i="8"/>
  <c r="L228" i="8"/>
  <c r="K228" i="8"/>
  <c r="Q227" i="8"/>
  <c r="K226" i="8"/>
  <c r="L225" i="8"/>
  <c r="Q225" i="8" s="1"/>
  <c r="L224" i="8"/>
  <c r="Q224" i="8" s="1"/>
  <c r="L223" i="8"/>
  <c r="O223" i="8" s="1"/>
  <c r="L222" i="8"/>
  <c r="Q222" i="8" s="1"/>
  <c r="K221" i="8"/>
  <c r="L221" i="8" s="1"/>
  <c r="Q220" i="8"/>
  <c r="Q219" i="8"/>
  <c r="Q218" i="8"/>
  <c r="L217" i="8"/>
  <c r="Q217" i="8" s="1"/>
  <c r="K216" i="8"/>
  <c r="L216" i="8" s="1"/>
  <c r="Q215" i="8"/>
  <c r="K214" i="8"/>
  <c r="L214" i="8" s="1"/>
  <c r="L213" i="8"/>
  <c r="Q213" i="8" s="1"/>
  <c r="L212" i="8"/>
  <c r="K212" i="8"/>
  <c r="Q211" i="8"/>
  <c r="K210" i="8"/>
  <c r="L210" i="8" s="1"/>
  <c r="Q210" i="8" s="1"/>
  <c r="Q209" i="8"/>
  <c r="K208" i="8"/>
  <c r="L208" i="8" s="1"/>
  <c r="K207" i="8"/>
  <c r="Q206" i="8"/>
  <c r="K205" i="8"/>
  <c r="L205" i="8" s="1"/>
  <c r="Q204" i="8"/>
  <c r="K203" i="8"/>
  <c r="Q203" i="8" s="1"/>
  <c r="K202" i="8"/>
  <c r="L202" i="8" s="1"/>
  <c r="K201" i="8"/>
  <c r="L201" i="8" s="1"/>
  <c r="Q201" i="8" s="1"/>
  <c r="K200" i="8"/>
  <c r="K199" i="8"/>
  <c r="L199" i="8" s="1"/>
  <c r="L198" i="8"/>
  <c r="Q198" i="8" s="1"/>
  <c r="L197" i="8"/>
  <c r="Q197" i="8" s="1"/>
  <c r="K196" i="8"/>
  <c r="Q195" i="8"/>
  <c r="Q194" i="8"/>
  <c r="K193" i="8"/>
  <c r="L193" i="8" s="1"/>
  <c r="Q193" i="8" s="1"/>
  <c r="L192" i="8"/>
  <c r="K192" i="8"/>
  <c r="Q191" i="8"/>
  <c r="K190" i="8"/>
  <c r="L190" i="8" s="1"/>
  <c r="Q190" i="8" s="1"/>
  <c r="Q189" i="8"/>
  <c r="K188" i="8"/>
  <c r="Q188" i="8" s="1"/>
  <c r="K187" i="8"/>
  <c r="Q187" i="8" s="1"/>
  <c r="L186" i="8"/>
  <c r="Q186" i="8" s="1"/>
  <c r="K185" i="8"/>
  <c r="L184" i="8"/>
  <c r="Q184" i="8" s="1"/>
  <c r="K183" i="8"/>
  <c r="L183" i="8" s="1"/>
  <c r="Q182" i="8"/>
  <c r="L181" i="8"/>
  <c r="Q181" i="8" s="1"/>
  <c r="L180" i="8"/>
  <c r="Q180" i="8" s="1"/>
  <c r="O179" i="8"/>
  <c r="L179" i="8"/>
  <c r="K179" i="8"/>
  <c r="L178" i="8"/>
  <c r="K178" i="8"/>
  <c r="L177" i="8"/>
  <c r="K177" i="8"/>
  <c r="Q176" i="8"/>
  <c r="K175" i="8"/>
  <c r="L175" i="8" s="1"/>
  <c r="K174" i="8"/>
  <c r="L174" i="8" s="1"/>
  <c r="L173" i="8"/>
  <c r="Q173" i="8" s="1"/>
  <c r="L172" i="8"/>
  <c r="Q172" i="8" s="1"/>
  <c r="L171" i="8"/>
  <c r="Q171" i="8" s="1"/>
  <c r="Q170" i="8"/>
  <c r="K169" i="8"/>
  <c r="L169" i="8" s="1"/>
  <c r="L168" i="8"/>
  <c r="Q168" i="8" s="1"/>
  <c r="K167" i="8"/>
  <c r="L167" i="8" s="1"/>
  <c r="K166" i="8"/>
  <c r="Q166" i="8" s="1"/>
  <c r="L165" i="8"/>
  <c r="Q165" i="8" s="1"/>
  <c r="K164" i="8"/>
  <c r="L164" i="8" s="1"/>
  <c r="Q163" i="8"/>
  <c r="Q162" i="8"/>
  <c r="Q161" i="8"/>
  <c r="L160" i="8"/>
  <c r="Q160" i="8" s="1"/>
  <c r="L159" i="8"/>
  <c r="K159" i="8"/>
  <c r="L158" i="8"/>
  <c r="K158" i="8"/>
  <c r="K157" i="8"/>
  <c r="L157" i="8" s="1"/>
  <c r="Q157" i="8" s="1"/>
  <c r="Q156" i="8"/>
  <c r="K155" i="8"/>
  <c r="L155" i="8" s="1"/>
  <c r="K154" i="8"/>
  <c r="Q154" i="8" s="1"/>
  <c r="K153" i="8"/>
  <c r="Q153" i="8" s="1"/>
  <c r="Q152" i="8"/>
  <c r="Q151" i="8"/>
  <c r="L150" i="8"/>
  <c r="K150" i="8"/>
  <c r="K149" i="8"/>
  <c r="Q149" i="8" s="1"/>
  <c r="K148" i="8"/>
  <c r="K147" i="8"/>
  <c r="L146" i="8"/>
  <c r="K146" i="8"/>
  <c r="Q145" i="8"/>
  <c r="L144" i="8"/>
  <c r="K144" i="8"/>
  <c r="Q143" i="8"/>
  <c r="Q142" i="8"/>
  <c r="Q141" i="8"/>
  <c r="Q140" i="8"/>
  <c r="K139" i="8"/>
  <c r="L139" i="8" s="1"/>
  <c r="Q138" i="8"/>
  <c r="L137" i="8"/>
  <c r="K137" i="8"/>
  <c r="L136" i="8"/>
  <c r="K136" i="8"/>
  <c r="Q135" i="8"/>
  <c r="L134" i="8"/>
  <c r="Q134" i="8" s="1"/>
  <c r="L133" i="8"/>
  <c r="Q133" i="8" s="1"/>
  <c r="L132" i="8"/>
  <c r="Q132" i="8" s="1"/>
  <c r="Q131" i="8"/>
  <c r="Q130" i="8"/>
  <c r="K129" i="8"/>
  <c r="L129" i="8" s="1"/>
  <c r="Q128" i="8"/>
  <c r="Q127" i="8"/>
  <c r="L126" i="8"/>
  <c r="Q126" i="8" s="1"/>
  <c r="L125" i="8"/>
  <c r="Q125" i="8" s="1"/>
  <c r="L124" i="8"/>
  <c r="Q124" i="8" s="1"/>
  <c r="K123" i="8"/>
  <c r="K122" i="8"/>
  <c r="L122" i="8" s="1"/>
  <c r="L121" i="8"/>
  <c r="Q121" i="8" s="1"/>
  <c r="L120" i="8"/>
  <c r="K120" i="8"/>
  <c r="Q119" i="8"/>
  <c r="K118" i="8"/>
  <c r="L117" i="8"/>
  <c r="Q117" i="8" s="1"/>
  <c r="K116" i="8"/>
  <c r="L116" i="8" s="1"/>
  <c r="K115" i="8"/>
  <c r="L115" i="8" s="1"/>
  <c r="L114" i="8"/>
  <c r="Q114" i="8" s="1"/>
  <c r="L113" i="8"/>
  <c r="Q113" i="8" s="1"/>
  <c r="K112" i="8"/>
  <c r="L112" i="8" s="1"/>
  <c r="L111" i="8"/>
  <c r="Q111" i="8" s="1"/>
  <c r="K110" i="8"/>
  <c r="L110" i="8" s="1"/>
  <c r="Q110" i="8" s="1"/>
  <c r="K109" i="8"/>
  <c r="L109" i="8" s="1"/>
  <c r="K108" i="8"/>
  <c r="R107" i="8"/>
  <c r="K107" i="8"/>
  <c r="Q107" i="8" s="1"/>
  <c r="L106" i="8"/>
  <c r="Q106" i="8" s="1"/>
  <c r="L105" i="8"/>
  <c r="K105" i="8"/>
  <c r="Q104" i="8"/>
  <c r="K103" i="8"/>
  <c r="L103" i="8" s="1"/>
  <c r="Q103" i="8" s="1"/>
  <c r="L102" i="8"/>
  <c r="Q102" i="8" s="1"/>
  <c r="L101" i="8"/>
  <c r="Q101" i="8" s="1"/>
  <c r="L100" i="8"/>
  <c r="Q100" i="8" s="1"/>
  <c r="K98" i="8"/>
  <c r="L97" i="8"/>
  <c r="K97" i="8"/>
  <c r="Q96" i="8"/>
  <c r="Q95" i="8"/>
  <c r="L94" i="8"/>
  <c r="Q94" i="8" s="1"/>
  <c r="Q93" i="8"/>
  <c r="K92" i="8"/>
  <c r="L92" i="8" s="1"/>
  <c r="Q92" i="8" s="1"/>
  <c r="K91" i="8"/>
  <c r="L91" i="8" s="1"/>
  <c r="Q91" i="8" s="1"/>
  <c r="Q90" i="8"/>
  <c r="K89" i="8"/>
  <c r="L89" i="8" s="1"/>
  <c r="Q89" i="8" s="1"/>
  <c r="K88" i="8"/>
  <c r="L88" i="8" s="1"/>
  <c r="L87" i="8"/>
  <c r="Q87" i="8" s="1"/>
  <c r="K86" i="8"/>
  <c r="R85" i="8"/>
  <c r="K85" i="8"/>
  <c r="Q85" i="8" s="1"/>
  <c r="K84" i="8"/>
  <c r="L84" i="8" s="1"/>
  <c r="L83" i="8"/>
  <c r="Q83" i="8" s="1"/>
  <c r="O82" i="8"/>
  <c r="L82" i="8"/>
  <c r="K82" i="8"/>
  <c r="Q81" i="8"/>
  <c r="Q80" i="8"/>
  <c r="Q79" i="8"/>
  <c r="L78" i="8"/>
  <c r="Q78" i="8" s="1"/>
  <c r="Q77" i="8"/>
  <c r="O76" i="8"/>
  <c r="Q76" i="8" s="1"/>
  <c r="K75" i="8"/>
  <c r="L75" i="8" s="1"/>
  <c r="K74" i="8"/>
  <c r="L74" i="8" s="1"/>
  <c r="K73" i="8"/>
  <c r="A73" i="8"/>
  <c r="A74" i="8" s="1"/>
  <c r="A75" i="8" s="1"/>
  <c r="A76" i="8" s="1"/>
  <c r="Q72" i="8"/>
  <c r="R72" i="8" s="1"/>
  <c r="L71" i="8"/>
  <c r="K71" i="8"/>
  <c r="R70" i="8"/>
  <c r="K70" i="8"/>
  <c r="L70" i="8" s="1"/>
  <c r="L69" i="8"/>
  <c r="Q69" i="8" s="1"/>
  <c r="K68" i="8"/>
  <c r="L68" i="8" s="1"/>
  <c r="L67" i="8"/>
  <c r="Q67" i="8" s="1"/>
  <c r="L66" i="8"/>
  <c r="K66" i="8"/>
  <c r="K65" i="8"/>
  <c r="L65" i="8" s="1"/>
  <c r="Q65" i="8" s="1"/>
  <c r="L64" i="8"/>
  <c r="Q64" i="8" s="1"/>
  <c r="L63" i="8"/>
  <c r="Q63" i="8" s="1"/>
  <c r="L62" i="8"/>
  <c r="K62" i="8"/>
  <c r="L61" i="8"/>
  <c r="K61" i="8"/>
  <c r="K60" i="8"/>
  <c r="L60" i="8" s="1"/>
  <c r="Q59" i="8"/>
  <c r="Q58" i="8"/>
  <c r="Q57" i="8"/>
  <c r="Q56" i="8"/>
  <c r="K55" i="8"/>
  <c r="L55" i="8" s="1"/>
  <c r="Q54" i="8"/>
  <c r="K53" i="8"/>
  <c r="L53" i="8" s="1"/>
  <c r="Q52" i="8"/>
  <c r="L51" i="8"/>
  <c r="K51" i="8"/>
  <c r="K50" i="8"/>
  <c r="Q50" i="8" s="1"/>
  <c r="K49" i="8"/>
  <c r="L49" i="8" s="1"/>
  <c r="K48" i="8"/>
  <c r="L48" i="8" s="1"/>
  <c r="K47" i="8"/>
  <c r="Q46" i="8"/>
  <c r="Q45" i="8"/>
  <c r="L44" i="8"/>
  <c r="K44" i="8"/>
  <c r="L43" i="8"/>
  <c r="Q43" i="8" s="1"/>
  <c r="Q42" i="8"/>
  <c r="Q41" i="8"/>
  <c r="Q40" i="8"/>
  <c r="Q39" i="8"/>
  <c r="Q38" i="8"/>
  <c r="L37" i="8"/>
  <c r="K37" i="8"/>
  <c r="L36" i="8"/>
  <c r="Q36" i="8" s="1"/>
  <c r="Q35" i="8"/>
  <c r="R35" i="8" s="1"/>
  <c r="Q34" i="8"/>
  <c r="Q33" i="8"/>
  <c r="L32" i="8"/>
  <c r="Q32" i="8" s="1"/>
  <c r="Q31" i="8"/>
  <c r="R31" i="8" s="1"/>
  <c r="L30" i="8"/>
  <c r="K30" i="8"/>
  <c r="L29" i="8"/>
  <c r="Q29" i="8" s="1"/>
  <c r="L28" i="8"/>
  <c r="Q28" i="8" s="1"/>
  <c r="Q27" i="8"/>
  <c r="L26" i="8"/>
  <c r="K26" i="8"/>
  <c r="Q25" i="8"/>
  <c r="K24" i="8"/>
  <c r="Q24" i="8" s="1"/>
  <c r="L23" i="8"/>
  <c r="Q23" i="8" s="1"/>
  <c r="L22" i="8"/>
  <c r="Q22" i="8" s="1"/>
  <c r="L21" i="8"/>
  <c r="Q21" i="8" s="1"/>
  <c r="L20" i="8"/>
  <c r="Q20" i="8" s="1"/>
  <c r="Q19" i="8"/>
  <c r="R19" i="8" s="1"/>
  <c r="A19" i="8"/>
  <c r="Q18" i="8"/>
  <c r="L17" i="8"/>
  <c r="Q17" i="8" s="1"/>
  <c r="L16" i="8"/>
  <c r="Q16" i="8" s="1"/>
  <c r="Q15" i="8"/>
  <c r="L14" i="8"/>
  <c r="Q14" i="8" s="1"/>
  <c r="L13" i="8"/>
  <c r="Q13" i="8" s="1"/>
  <c r="L12" i="8"/>
  <c r="K12" i="8"/>
  <c r="Q11" i="8"/>
  <c r="G29" i="4"/>
  <c r="G28" i="4"/>
  <c r="G27" i="4"/>
  <c r="G26" i="4"/>
  <c r="G25" i="4"/>
  <c r="G24" i="4"/>
  <c r="G23" i="4"/>
  <c r="G22" i="4"/>
  <c r="G20" i="4"/>
  <c r="G18" i="4"/>
  <c r="G17" i="4"/>
  <c r="G16" i="4"/>
  <c r="G15" i="4"/>
  <c r="G14" i="4"/>
  <c r="G13" i="4"/>
  <c r="G12" i="4"/>
  <c r="G11" i="4"/>
  <c r="G9" i="4"/>
  <c r="G8" i="4"/>
  <c r="D6" i="4"/>
  <c r="Z338" i="1"/>
  <c r="Z336" i="1"/>
  <c r="T453" i="1"/>
  <c r="T336" i="1"/>
  <c r="T203" i="1"/>
  <c r="T131" i="1"/>
  <c r="Z16" i="1"/>
  <c r="O10" i="8" l="1"/>
  <c r="N10" i="8"/>
  <c r="D27" i="11"/>
  <c r="G27" i="11" s="1"/>
  <c r="G26" i="11" s="1"/>
  <c r="G19" i="11"/>
  <c r="S299" i="1"/>
  <c r="AA299" i="1"/>
  <c r="S51" i="1"/>
  <c r="AA51" i="1"/>
  <c r="Q333" i="1"/>
  <c r="AA333" i="1"/>
  <c r="S305" i="1"/>
  <c r="AA305" i="1"/>
  <c r="S154" i="1"/>
  <c r="AA154" i="1"/>
  <c r="S415" i="1"/>
  <c r="AA415" i="1"/>
  <c r="S127" i="1"/>
  <c r="AA127" i="1"/>
  <c r="Q192" i="1"/>
  <c r="K116" i="6"/>
  <c r="K32" i="6"/>
  <c r="K70" i="6"/>
  <c r="K10" i="8"/>
  <c r="Q327" i="8"/>
  <c r="Q310" i="8"/>
  <c r="R310" i="8" s="1"/>
  <c r="Q228" i="8"/>
  <c r="Q340" i="8"/>
  <c r="R334" i="8" s="1"/>
  <c r="Q331" i="8"/>
  <c r="Q37" i="8"/>
  <c r="R37" i="8" s="1"/>
  <c r="Q136" i="8"/>
  <c r="Q183" i="8"/>
  <c r="R180" i="8" s="1"/>
  <c r="Q120" i="8"/>
  <c r="Q212" i="8"/>
  <c r="Q229" i="8"/>
  <c r="R89" i="8"/>
  <c r="Q150" i="8"/>
  <c r="R150" i="8" s="1"/>
  <c r="Q51" i="8"/>
  <c r="R50" i="8" s="1"/>
  <c r="Q61" i="8"/>
  <c r="Q216" i="8"/>
  <c r="R215" i="8" s="1"/>
  <c r="Q324" i="8"/>
  <c r="Q137" i="8"/>
  <c r="Q146" i="8"/>
  <c r="Q290" i="8"/>
  <c r="Q68" i="8"/>
  <c r="Q70" i="8"/>
  <c r="Q155" i="8"/>
  <c r="R151" i="8" s="1"/>
  <c r="Q159" i="8"/>
  <c r="Q325" i="8"/>
  <c r="Q109" i="8"/>
  <c r="Q30" i="8"/>
  <c r="R29" i="8" s="1"/>
  <c r="R130" i="8"/>
  <c r="Q284" i="8"/>
  <c r="R20" i="8"/>
  <c r="Q178" i="8"/>
  <c r="Q75" i="8"/>
  <c r="Q112" i="8"/>
  <c r="Q158" i="8"/>
  <c r="R160" i="8"/>
  <c r="Q232" i="8"/>
  <c r="Q179" i="8"/>
  <c r="Q26" i="8"/>
  <c r="R25" i="8" s="1"/>
  <c r="Q66" i="8"/>
  <c r="Q82" i="8"/>
  <c r="Q88" i="8"/>
  <c r="Q115" i="8"/>
  <c r="Q116" i="8"/>
  <c r="Q122" i="8"/>
  <c r="Q164" i="8"/>
  <c r="R163" i="8" s="1"/>
  <c r="Q177" i="8"/>
  <c r="Q205" i="8"/>
  <c r="Q231" i="8"/>
  <c r="Q236" i="8"/>
  <c r="Q238" i="8"/>
  <c r="Q250" i="8"/>
  <c r="Q279" i="8"/>
  <c r="Q282" i="8"/>
  <c r="Q300" i="8"/>
  <c r="Q308" i="8"/>
  <c r="R307" i="8" s="1"/>
  <c r="Q343" i="8"/>
  <c r="Q351" i="8"/>
  <c r="R348" i="8" s="1"/>
  <c r="Q353" i="8"/>
  <c r="Q62" i="8"/>
  <c r="Q139" i="8"/>
  <c r="R139" i="8" s="1"/>
  <c r="Q202" i="8"/>
  <c r="R201" i="8" s="1"/>
  <c r="Q208" i="8"/>
  <c r="R208" i="8" s="1"/>
  <c r="Q249" i="8"/>
  <c r="Q71" i="8"/>
  <c r="R71" i="8" s="1"/>
  <c r="Q97" i="8"/>
  <c r="Q192" i="8"/>
  <c r="R189" i="8" s="1"/>
  <c r="Q223" i="8"/>
  <c r="L261" i="8"/>
  <c r="Q261" i="8" s="1"/>
  <c r="L347" i="8"/>
  <c r="Q347" i="8" s="1"/>
  <c r="L98" i="8"/>
  <c r="Q98" i="8" s="1"/>
  <c r="L118" i="8"/>
  <c r="Q118" i="8" s="1"/>
  <c r="R141" i="8"/>
  <c r="L277" i="8"/>
  <c r="Q277" i="8" s="1"/>
  <c r="R56" i="8"/>
  <c r="R94" i="8"/>
  <c r="L123" i="8"/>
  <c r="Q123" i="8" s="1"/>
  <c r="R133" i="8"/>
  <c r="L147" i="8"/>
  <c r="Q147" i="8" s="1"/>
  <c r="R210" i="8"/>
  <c r="L245" i="8"/>
  <c r="Q245" i="8" s="1"/>
  <c r="R79" i="8"/>
  <c r="Q12" i="8"/>
  <c r="R11" i="8" s="1"/>
  <c r="Q53" i="8"/>
  <c r="Q105" i="8"/>
  <c r="R101" i="8" s="1"/>
  <c r="Q129" i="8"/>
  <c r="R77" i="8"/>
  <c r="R312" i="8"/>
  <c r="L108" i="8"/>
  <c r="Q108" i="8" s="1"/>
  <c r="R134" i="8"/>
  <c r="L185" i="8"/>
  <c r="Q185" i="8" s="1"/>
  <c r="L242" i="8"/>
  <c r="Q242" i="8" s="1"/>
  <c r="R18" i="8"/>
  <c r="R33" i="8"/>
  <c r="R36" i="8"/>
  <c r="Q44" i="8"/>
  <c r="Q48" i="8"/>
  <c r="Q49" i="8"/>
  <c r="Q55" i="8"/>
  <c r="Q74" i="8"/>
  <c r="Q84" i="8"/>
  <c r="Q144" i="8"/>
  <c r="L73" i="8"/>
  <c r="Q73" i="8" s="1"/>
  <c r="R76" i="8"/>
  <c r="L86" i="8"/>
  <c r="Q86" i="8" s="1"/>
  <c r="R117" i="8"/>
  <c r="L148" i="8"/>
  <c r="Q148" i="8" s="1"/>
  <c r="L265" i="8"/>
  <c r="Q265" i="8" s="1"/>
  <c r="R32" i="8"/>
  <c r="R43" i="8"/>
  <c r="L47" i="8"/>
  <c r="Q60" i="8"/>
  <c r="L200" i="8"/>
  <c r="Q200" i="8" s="1"/>
  <c r="L207" i="8"/>
  <c r="Q207" i="8" s="1"/>
  <c r="L196" i="8"/>
  <c r="Q196" i="8" s="1"/>
  <c r="L244" i="8"/>
  <c r="Q244" i="8" s="1"/>
  <c r="L246" i="8"/>
  <c r="Q246" i="8" s="1"/>
  <c r="L254" i="8"/>
  <c r="Q254" i="8" s="1"/>
  <c r="Q199" i="8"/>
  <c r="Q237" i="8"/>
  <c r="Q247" i="8"/>
  <c r="L226" i="8"/>
  <c r="Q226" i="8" s="1"/>
  <c r="L233" i="8"/>
  <c r="Q233" i="8" s="1"/>
  <c r="Q167" i="8"/>
  <c r="Q169" i="8"/>
  <c r="Q174" i="8"/>
  <c r="Q175" i="8"/>
  <c r="Q214" i="8"/>
  <c r="Q221" i="8"/>
  <c r="Q235" i="8"/>
  <c r="Q251" i="8"/>
  <c r="Q276" i="8"/>
  <c r="L299" i="8"/>
  <c r="Q299" i="8" s="1"/>
  <c r="R318" i="8"/>
  <c r="L356" i="8"/>
  <c r="Q356" i="8" s="1"/>
  <c r="R304" i="8"/>
  <c r="L315" i="8"/>
  <c r="Q315" i="8" s="1"/>
  <c r="Q288" i="8"/>
  <c r="L298" i="8"/>
  <c r="Q298" i="8" s="1"/>
  <c r="R316" i="8"/>
  <c r="L360" i="8"/>
  <c r="Q360" i="8" s="1"/>
  <c r="R187" i="8"/>
  <c r="Q295" i="8"/>
  <c r="Q297" i="8"/>
  <c r="Q301" i="8"/>
  <c r="R321" i="8"/>
  <c r="Q330" i="8"/>
  <c r="G21" i="4"/>
  <c r="K85" i="6"/>
  <c r="K43" i="6"/>
  <c r="K129" i="6"/>
  <c r="K33" i="6"/>
  <c r="K19" i="6"/>
  <c r="K56" i="6"/>
  <c r="K76" i="6"/>
  <c r="K79" i="6"/>
  <c r="K306" i="6"/>
  <c r="K239" i="6"/>
  <c r="G10" i="4"/>
  <c r="G19" i="4"/>
  <c r="G7" i="4"/>
  <c r="G30" i="4"/>
  <c r="K174" i="6" l="1"/>
  <c r="K71" i="6"/>
  <c r="K44" i="6"/>
  <c r="K198" i="6"/>
  <c r="K117" i="6"/>
  <c r="K310" i="6"/>
  <c r="K147" i="6"/>
  <c r="K86" i="6"/>
  <c r="K50" i="6"/>
  <c r="K133" i="6"/>
  <c r="K121" i="6"/>
  <c r="K146" i="6"/>
  <c r="K73" i="6"/>
  <c r="L10" i="8"/>
  <c r="R63" i="8"/>
  <c r="R284" i="8"/>
  <c r="R136" i="8"/>
  <c r="R328" i="8"/>
  <c r="R248" i="8"/>
  <c r="R61" i="8"/>
  <c r="R166" i="8"/>
  <c r="R323" i="8"/>
  <c r="R156" i="8"/>
  <c r="R341" i="8"/>
  <c r="R176" i="8"/>
  <c r="R113" i="8"/>
  <c r="R278" i="8"/>
  <c r="R352" i="8"/>
  <c r="R225" i="8"/>
  <c r="R252" i="8"/>
  <c r="R204" i="8"/>
  <c r="R96" i="8"/>
  <c r="R359" i="8"/>
  <c r="R73" i="8"/>
  <c r="R268" i="8"/>
  <c r="R200" i="8"/>
  <c r="R262" i="8"/>
  <c r="R242" i="8"/>
  <c r="R315" i="8"/>
  <c r="R195" i="8"/>
  <c r="R148" i="8"/>
  <c r="R147" i="8"/>
  <c r="R219" i="8"/>
  <c r="R234" i="8"/>
  <c r="R86" i="8"/>
  <c r="R185" i="8"/>
  <c r="R297" i="8"/>
  <c r="R44" i="8"/>
  <c r="R211" i="8"/>
  <c r="R82" i="8"/>
  <c r="R108" i="8"/>
  <c r="R122" i="8"/>
  <c r="R301" i="8"/>
  <c r="R58" i="8"/>
  <c r="R142" i="8"/>
  <c r="R74" i="8"/>
  <c r="R53" i="8"/>
  <c r="R118" i="8"/>
  <c r="R290" i="8"/>
  <c r="R170" i="8"/>
  <c r="Q47" i="8"/>
  <c r="Q10" i="8" s="1"/>
  <c r="R125" i="8"/>
  <c r="K168" i="6"/>
  <c r="K260" i="6"/>
  <c r="K202" i="6"/>
  <c r="K296" i="6"/>
  <c r="K159" i="6"/>
  <c r="K149" i="6"/>
  <c r="K31" i="6"/>
  <c r="K20" i="6"/>
  <c r="K316" i="6"/>
  <c r="K36" i="6"/>
  <c r="K94" i="6"/>
  <c r="K89" i="6"/>
  <c r="K25" i="6"/>
  <c r="K305" i="6"/>
  <c r="K302" i="6"/>
  <c r="K112" i="6"/>
  <c r="K140" i="6"/>
  <c r="K101" i="6"/>
  <c r="K187" i="6"/>
  <c r="K58" i="6"/>
  <c r="K246" i="6"/>
  <c r="K185" i="6"/>
  <c r="K155" i="6"/>
  <c r="K106" i="6"/>
  <c r="K96" i="6"/>
  <c r="K132" i="6"/>
  <c r="K72" i="6"/>
  <c r="K18" i="6"/>
  <c r="K61" i="6" l="1"/>
  <c r="K292" i="6"/>
  <c r="R46" i="8"/>
  <c r="R10" i="8" s="1"/>
  <c r="Y333" i="8"/>
  <c r="K82" i="6"/>
  <c r="K318" i="6"/>
  <c r="K250" i="6"/>
  <c r="Q328" i="6"/>
  <c r="K323" i="6"/>
  <c r="K299" i="6"/>
  <c r="K311" i="6"/>
  <c r="K343" i="6"/>
  <c r="K193" i="6"/>
  <c r="K336" i="6"/>
  <c r="K150" i="6"/>
  <c r="K199" i="6"/>
  <c r="K141" i="6"/>
  <c r="K164" i="6"/>
  <c r="K107" i="6"/>
  <c r="K213" i="6"/>
  <c r="K124" i="6"/>
  <c r="K37" i="6"/>
  <c r="K307" i="6"/>
  <c r="K206" i="6"/>
  <c r="K208" i="6"/>
  <c r="K265" i="6"/>
  <c r="K46" i="6"/>
  <c r="K291" i="6"/>
  <c r="K209" i="6"/>
  <c r="K138" i="6"/>
  <c r="K135" i="6"/>
  <c r="K285" i="6"/>
  <c r="K178" i="6"/>
  <c r="K183" i="6"/>
  <c r="K77" i="6"/>
  <c r="K240" i="6"/>
  <c r="K223" i="6"/>
  <c r="K347" i="6"/>
  <c r="K29" i="6"/>
  <c r="K329" i="6"/>
  <c r="K63" i="6"/>
  <c r="K161" i="6"/>
  <c r="K313" i="6"/>
  <c r="K273" i="6"/>
  <c r="G6" i="4"/>
  <c r="K232" i="6" l="1"/>
  <c r="K279" i="6"/>
  <c r="K74" i="6"/>
  <c r="K53" i="6"/>
  <c r="K217" i="6"/>
  <c r="K11" i="6" l="1"/>
  <c r="K10" i="6" s="1"/>
  <c r="M10" i="1" l="1"/>
  <c r="U10" i="1"/>
  <c r="W10" i="1"/>
  <c r="AD462" i="1"/>
  <c r="K462" i="1"/>
  <c r="AD461" i="1"/>
  <c r="Z461" i="1"/>
  <c r="AD460" i="1"/>
  <c r="L460" i="1"/>
  <c r="AD459" i="1"/>
  <c r="K459" i="1"/>
  <c r="AD458" i="1"/>
  <c r="Z458" i="1"/>
  <c r="AD457" i="1"/>
  <c r="L457" i="1"/>
  <c r="P457" i="1" s="1"/>
  <c r="AA457" i="1" s="1"/>
  <c r="AD456" i="1"/>
  <c r="Z456" i="1"/>
  <c r="AD455" i="1"/>
  <c r="K455" i="1"/>
  <c r="Z454" i="1"/>
  <c r="AD453" i="1"/>
  <c r="V453" i="1"/>
  <c r="Z453" i="1" s="1"/>
  <c r="AD452" i="1"/>
  <c r="S452" i="1"/>
  <c r="AD451" i="1"/>
  <c r="Z451" i="1"/>
  <c r="K451" i="1"/>
  <c r="AD450" i="1"/>
  <c r="Z450" i="1"/>
  <c r="K450" i="1"/>
  <c r="AD449" i="1"/>
  <c r="Z449" i="1"/>
  <c r="L449" i="1"/>
  <c r="AD448" i="1"/>
  <c r="L448" i="1"/>
  <c r="K448" i="1"/>
  <c r="AD447" i="1"/>
  <c r="L447" i="1"/>
  <c r="P447" i="1" s="1"/>
  <c r="AA447" i="1" s="1"/>
  <c r="AD446" i="1"/>
  <c r="K446" i="1"/>
  <c r="AD445" i="1"/>
  <c r="L445" i="1"/>
  <c r="AD444" i="1"/>
  <c r="Z444" i="1"/>
  <c r="K444" i="1"/>
  <c r="L443" i="1"/>
  <c r="AD442" i="1"/>
  <c r="Z442" i="1"/>
  <c r="AD441" i="1"/>
  <c r="K441" i="1"/>
  <c r="AD440" i="1"/>
  <c r="Z440" i="1"/>
  <c r="AD439" i="1"/>
  <c r="L439" i="1"/>
  <c r="P439" i="1" s="1"/>
  <c r="AA439" i="1" s="1"/>
  <c r="AD438" i="1"/>
  <c r="Z438" i="1"/>
  <c r="S438" i="1"/>
  <c r="AD437" i="1"/>
  <c r="Z437" i="1"/>
  <c r="S437" i="1"/>
  <c r="AD436" i="1"/>
  <c r="S436" i="1"/>
  <c r="AD435" i="1"/>
  <c r="Z435" i="1"/>
  <c r="AD434" i="1"/>
  <c r="L434" i="1"/>
  <c r="K434" i="1"/>
  <c r="AD433" i="1"/>
  <c r="L433" i="1"/>
  <c r="AD431" i="1"/>
  <c r="AB431" i="1"/>
  <c r="AA431" i="1"/>
  <c r="V431" i="1"/>
  <c r="Z431" i="1" s="1"/>
  <c r="S431" i="1"/>
  <c r="AD430" i="1"/>
  <c r="O430" i="1"/>
  <c r="K430" i="1"/>
  <c r="AD429" i="1"/>
  <c r="AB429" i="1"/>
  <c r="AA429" i="1"/>
  <c r="Z429" i="1"/>
  <c r="S429" i="1"/>
  <c r="AD428" i="1"/>
  <c r="AB428" i="1"/>
  <c r="AA428" i="1"/>
  <c r="Z428" i="1"/>
  <c r="S428" i="1"/>
  <c r="AD427" i="1"/>
  <c r="L427" i="1"/>
  <c r="AD426" i="1"/>
  <c r="Z426" i="1"/>
  <c r="AD425" i="1"/>
  <c r="Z425" i="1"/>
  <c r="AD424" i="1"/>
  <c r="L424" i="1"/>
  <c r="L423" i="1"/>
  <c r="AD421" i="1"/>
  <c r="S421" i="1"/>
  <c r="AD420" i="1"/>
  <c r="L420" i="1"/>
  <c r="AD419" i="1"/>
  <c r="L419" i="1"/>
  <c r="K419" i="1"/>
  <c r="AD418" i="1"/>
  <c r="K418" i="1"/>
  <c r="AD417" i="1"/>
  <c r="Z417" i="1"/>
  <c r="K417" i="1"/>
  <c r="Z416" i="1"/>
  <c r="L416" i="1"/>
  <c r="P416" i="1" s="1"/>
  <c r="AA416" i="1" s="1"/>
  <c r="AD415" i="1"/>
  <c r="AB415" i="1"/>
  <c r="V415" i="1"/>
  <c r="Z415" i="1" s="1"/>
  <c r="AD414" i="1"/>
  <c r="K414" i="1"/>
  <c r="AD413" i="1"/>
  <c r="K413" i="1"/>
  <c r="AD412" i="1"/>
  <c r="K412" i="1"/>
  <c r="AD411" i="1"/>
  <c r="L411" i="1"/>
  <c r="K411" i="1"/>
  <c r="L410" i="1"/>
  <c r="AD409" i="1"/>
  <c r="L408" i="1"/>
  <c r="P408" i="1" s="1"/>
  <c r="AA408" i="1" s="1"/>
  <c r="AD407" i="1"/>
  <c r="K407" i="1"/>
  <c r="AD406" i="1"/>
  <c r="K406" i="1"/>
  <c r="AD405" i="1"/>
  <c r="V405" i="1"/>
  <c r="Z405" i="1" s="1"/>
  <c r="Z404" i="1"/>
  <c r="K404" i="1"/>
  <c r="AD403" i="1"/>
  <c r="AB403" i="1"/>
  <c r="AD402" i="1"/>
  <c r="K400" i="1"/>
  <c r="AD399" i="1"/>
  <c r="AD398" i="1"/>
  <c r="AD397" i="1"/>
  <c r="V397" i="1"/>
  <c r="Z397" i="1" s="1"/>
  <c r="Z396" i="1"/>
  <c r="K396" i="1"/>
  <c r="AD395" i="1"/>
  <c r="Z395" i="1"/>
  <c r="AB395" i="1"/>
  <c r="AD393" i="1"/>
  <c r="Z393" i="1"/>
  <c r="AA393" i="1"/>
  <c r="AD392" i="1"/>
  <c r="Z392" i="1"/>
  <c r="AA392" i="1"/>
  <c r="Z391" i="1"/>
  <c r="L391" i="1"/>
  <c r="K391" i="1"/>
  <c r="AD390" i="1"/>
  <c r="Z390" i="1"/>
  <c r="AD389" i="1"/>
  <c r="L389" i="1"/>
  <c r="AD388" i="1"/>
  <c r="Z388" i="1"/>
  <c r="AD387" i="1"/>
  <c r="L387" i="1"/>
  <c r="K387" i="1"/>
  <c r="AD386" i="1"/>
  <c r="Z386" i="1"/>
  <c r="S385" i="1"/>
  <c r="P387" i="1" l="1"/>
  <c r="AA387" i="1" s="1"/>
  <c r="L418" i="1"/>
  <c r="P418" i="1" s="1"/>
  <c r="P427" i="1"/>
  <c r="AA427" i="1" s="1"/>
  <c r="L430" i="1"/>
  <c r="P430" i="1" s="1"/>
  <c r="AA430" i="1" s="1"/>
  <c r="P433" i="1"/>
  <c r="AA433" i="1" s="1"/>
  <c r="L444" i="1"/>
  <c r="P444" i="1" s="1"/>
  <c r="P449" i="1"/>
  <c r="P460" i="1"/>
  <c r="L400" i="1"/>
  <c r="P400" i="1" s="1"/>
  <c r="AA400" i="1" s="1"/>
  <c r="L406" i="1"/>
  <c r="P406" i="1" s="1"/>
  <c r="L413" i="1"/>
  <c r="P413" i="1" s="1"/>
  <c r="L441" i="1"/>
  <c r="P441" i="1" s="1"/>
  <c r="P443" i="1"/>
  <c r="P445" i="1"/>
  <c r="P424" i="1"/>
  <c r="L451" i="1"/>
  <c r="P451" i="1" s="1"/>
  <c r="AA451" i="1" s="1"/>
  <c r="L455" i="1"/>
  <c r="P455" i="1" s="1"/>
  <c r="L459" i="1"/>
  <c r="P459" i="1" s="1"/>
  <c r="P389" i="1"/>
  <c r="AA389" i="1" s="1"/>
  <c r="L396" i="1"/>
  <c r="P396" i="1" s="1"/>
  <c r="L407" i="1"/>
  <c r="P407" i="1" s="1"/>
  <c r="P410" i="1"/>
  <c r="AA410" i="1" s="1"/>
  <c r="L412" i="1"/>
  <c r="P412" i="1" s="1"/>
  <c r="AA412" i="1" s="1"/>
  <c r="L414" i="1"/>
  <c r="P414" i="1" s="1"/>
  <c r="P417" i="1"/>
  <c r="AA417" i="1" s="1"/>
  <c r="P420" i="1"/>
  <c r="P423" i="1"/>
  <c r="L446" i="1"/>
  <c r="P446" i="1" s="1"/>
  <c r="AA446" i="1" s="1"/>
  <c r="P411" i="1"/>
  <c r="P419" i="1"/>
  <c r="P434" i="1"/>
  <c r="P391" i="1"/>
  <c r="P448" i="1"/>
  <c r="AB397" i="1"/>
  <c r="S397" i="1"/>
  <c r="AB401" i="1"/>
  <c r="S401" i="1"/>
  <c r="S398" i="1"/>
  <c r="AB405" i="1"/>
  <c r="S405" i="1"/>
  <c r="S409" i="1"/>
  <c r="S416" i="1"/>
  <c r="S394" i="1"/>
  <c r="S408" i="1"/>
  <c r="AB422" i="1"/>
  <c r="S422" i="1"/>
  <c r="AB399" i="1"/>
  <c r="S399" i="1"/>
  <c r="S402" i="1"/>
  <c r="AB432" i="1"/>
  <c r="S432" i="1"/>
  <c r="AB439" i="1"/>
  <c r="S439" i="1"/>
  <c r="AB447" i="1"/>
  <c r="S447" i="1"/>
  <c r="V457" i="1"/>
  <c r="Z457" i="1" s="1"/>
  <c r="S457" i="1"/>
  <c r="S395" i="1"/>
  <c r="V422" i="1"/>
  <c r="Z422" i="1" s="1"/>
  <c r="AE428" i="1"/>
  <c r="Q401" i="1"/>
  <c r="AB426" i="1"/>
  <c r="S426" i="1"/>
  <c r="AE390" i="1"/>
  <c r="AE456" i="1"/>
  <c r="AE388" i="1"/>
  <c r="AB409" i="1"/>
  <c r="AE440" i="1"/>
  <c r="S454" i="1"/>
  <c r="AB454" i="1"/>
  <c r="S425" i="1"/>
  <c r="AB425" i="1"/>
  <c r="AE437" i="1"/>
  <c r="V401" i="1"/>
  <c r="Z401" i="1" s="1"/>
  <c r="AB402" i="1"/>
  <c r="V432" i="1"/>
  <c r="Z432" i="1" s="1"/>
  <c r="AE453" i="1"/>
  <c r="AB398" i="1"/>
  <c r="AE461" i="1"/>
  <c r="AA395" i="1"/>
  <c r="L404" i="1"/>
  <c r="P404" i="1" s="1"/>
  <c r="AA404" i="1" s="1"/>
  <c r="AE435" i="1"/>
  <c r="V385" i="1"/>
  <c r="Z385" i="1" s="1"/>
  <c r="AB385" i="1"/>
  <c r="AE386" i="1"/>
  <c r="AB392" i="1"/>
  <c r="AB393" i="1"/>
  <c r="AB394" i="1"/>
  <c r="V399" i="1"/>
  <c r="Z399" i="1" s="1"/>
  <c r="V403" i="1"/>
  <c r="Z403" i="1" s="1"/>
  <c r="AA403" i="1"/>
  <c r="AB408" i="1"/>
  <c r="AB421" i="1"/>
  <c r="AB427" i="1"/>
  <c r="AB436" i="1"/>
  <c r="AB452" i="1"/>
  <c r="V452" i="1"/>
  <c r="Z452" i="1" s="1"/>
  <c r="S392" i="1"/>
  <c r="S393" i="1"/>
  <c r="Q394" i="1"/>
  <c r="V394" i="1"/>
  <c r="Z394" i="1" s="1"/>
  <c r="V398" i="1"/>
  <c r="Z398" i="1" s="1"/>
  <c r="V402" i="1"/>
  <c r="Z402" i="1" s="1"/>
  <c r="S403" i="1"/>
  <c r="Q408" i="1"/>
  <c r="V408" i="1"/>
  <c r="Z408" i="1" s="1"/>
  <c r="V409" i="1"/>
  <c r="Z409" i="1" s="1"/>
  <c r="AE415" i="1"/>
  <c r="AG416" i="1"/>
  <c r="AB416" i="1"/>
  <c r="V421" i="1"/>
  <c r="Z421" i="1" s="1"/>
  <c r="AG421" i="1"/>
  <c r="AE429" i="1"/>
  <c r="AE431" i="1"/>
  <c r="V436" i="1"/>
  <c r="Z436" i="1" s="1"/>
  <c r="AB438" i="1"/>
  <c r="V439" i="1"/>
  <c r="Z439" i="1" s="1"/>
  <c r="AE442" i="1"/>
  <c r="L450" i="1"/>
  <c r="L462" i="1"/>
  <c r="V447" i="1"/>
  <c r="Z447" i="1" s="1"/>
  <c r="AB457" i="1"/>
  <c r="AE458" i="1"/>
  <c r="S427" i="1" l="1"/>
  <c r="S444" i="1"/>
  <c r="AA444" i="1"/>
  <c r="S434" i="1"/>
  <c r="AA434" i="1"/>
  <c r="S448" i="1"/>
  <c r="AA448" i="1"/>
  <c r="V411" i="1"/>
  <c r="Z411" i="1" s="1"/>
  <c r="AA411" i="1"/>
  <c r="S407" i="1"/>
  <c r="AA407" i="1"/>
  <c r="S455" i="1"/>
  <c r="AA455" i="1"/>
  <c r="S443" i="1"/>
  <c r="AA443" i="1"/>
  <c r="S418" i="1"/>
  <c r="AA418" i="1"/>
  <c r="S419" i="1"/>
  <c r="AA419" i="1"/>
  <c r="AB420" i="1"/>
  <c r="AA420" i="1"/>
  <c r="S459" i="1"/>
  <c r="AA459" i="1"/>
  <c r="AB445" i="1"/>
  <c r="AA445" i="1"/>
  <c r="S406" i="1"/>
  <c r="AA406" i="1"/>
  <c r="AB423" i="1"/>
  <c r="AA423" i="1"/>
  <c r="S424" i="1"/>
  <c r="AA424" i="1"/>
  <c r="S413" i="1"/>
  <c r="AA413" i="1"/>
  <c r="S449" i="1"/>
  <c r="AA449" i="1"/>
  <c r="S391" i="1"/>
  <c r="AA391" i="1"/>
  <c r="S414" i="1"/>
  <c r="AA414" i="1"/>
  <c r="S396" i="1"/>
  <c r="AA396" i="1"/>
  <c r="S441" i="1"/>
  <c r="AA441" i="1"/>
  <c r="AB460" i="1"/>
  <c r="AA460" i="1"/>
  <c r="AB417" i="1"/>
  <c r="V427" i="1"/>
  <c r="Z427" i="1" s="1"/>
  <c r="AE427" i="1" s="1"/>
  <c r="AB448" i="1"/>
  <c r="S417" i="1"/>
  <c r="S410" i="1"/>
  <c r="S389" i="1"/>
  <c r="S460" i="1"/>
  <c r="S433" i="1"/>
  <c r="V389" i="1"/>
  <c r="Z389" i="1" s="1"/>
  <c r="S411" i="1"/>
  <c r="AB389" i="1"/>
  <c r="S423" i="1"/>
  <c r="V433" i="1"/>
  <c r="Z433" i="1" s="1"/>
  <c r="V423" i="1"/>
  <c r="Z423" i="1" s="1"/>
  <c r="S445" i="1"/>
  <c r="AD401" i="1"/>
  <c r="AE401" i="1" s="1"/>
  <c r="V443" i="1"/>
  <c r="Z443" i="1" s="1"/>
  <c r="AB449" i="1"/>
  <c r="AG417" i="1"/>
  <c r="V410" i="1"/>
  <c r="Z410" i="1" s="1"/>
  <c r="AB433" i="1"/>
  <c r="S420" i="1"/>
  <c r="AD408" i="1"/>
  <c r="AE408" i="1" s="1"/>
  <c r="AD394" i="1"/>
  <c r="AE394" i="1" s="1"/>
  <c r="AF394" i="1" s="1"/>
  <c r="AB443" i="1"/>
  <c r="V424" i="1"/>
  <c r="Z424" i="1" s="1"/>
  <c r="AB424" i="1"/>
  <c r="AB430" i="1"/>
  <c r="S430" i="1"/>
  <c r="Q422" i="1"/>
  <c r="AG426" i="1" s="1"/>
  <c r="V430" i="1"/>
  <c r="Z430" i="1" s="1"/>
  <c r="P450" i="1"/>
  <c r="V460" i="1"/>
  <c r="Z460" i="1" s="1"/>
  <c r="V420" i="1"/>
  <c r="Z420" i="1" s="1"/>
  <c r="V448" i="1"/>
  <c r="Z448" i="1" s="1"/>
  <c r="V445" i="1"/>
  <c r="Z445" i="1" s="1"/>
  <c r="AB410" i="1"/>
  <c r="P462" i="1"/>
  <c r="AG420" i="1"/>
  <c r="AB434" i="1"/>
  <c r="AB419" i="1"/>
  <c r="AB411" i="1"/>
  <c r="AE411" i="1" s="1"/>
  <c r="Q391" i="1"/>
  <c r="V419" i="1"/>
  <c r="Z419" i="1" s="1"/>
  <c r="V434" i="1"/>
  <c r="Z434" i="1" s="1"/>
  <c r="AG419" i="1"/>
  <c r="AB391" i="1"/>
  <c r="AE405" i="1"/>
  <c r="S404" i="1"/>
  <c r="AB400" i="1"/>
  <c r="S400" i="1"/>
  <c r="V412" i="1"/>
  <c r="Z412" i="1" s="1"/>
  <c r="S412" i="1"/>
  <c r="S451" i="1"/>
  <c r="S387" i="1"/>
  <c r="AB446" i="1"/>
  <c r="S446" i="1"/>
  <c r="AE422" i="1"/>
  <c r="AE395" i="1"/>
  <c r="AB387" i="1"/>
  <c r="AB451" i="1"/>
  <c r="AE426" i="1"/>
  <c r="AE393" i="1"/>
  <c r="V446" i="1"/>
  <c r="Z446" i="1" s="1"/>
  <c r="AE402" i="1"/>
  <c r="AB412" i="1"/>
  <c r="AE403" i="1"/>
  <c r="AE409" i="1"/>
  <c r="AB455" i="1"/>
  <c r="V406" i="1"/>
  <c r="Z406" i="1" s="1"/>
  <c r="V455" i="1"/>
  <c r="Z455" i="1" s="1"/>
  <c r="AB406" i="1"/>
  <c r="V400" i="1"/>
  <c r="Z400" i="1" s="1"/>
  <c r="AE438" i="1"/>
  <c r="AE447" i="1"/>
  <c r="AE392" i="1"/>
  <c r="AB404" i="1"/>
  <c r="AE439" i="1"/>
  <c r="AE421" i="1"/>
  <c r="Q400" i="1"/>
  <c r="Q385" i="1"/>
  <c r="V387" i="1"/>
  <c r="Z387" i="1" s="1"/>
  <c r="Q410" i="1"/>
  <c r="AE398" i="1"/>
  <c r="V459" i="1"/>
  <c r="Z459" i="1" s="1"/>
  <c r="AB459" i="1"/>
  <c r="AB444" i="1"/>
  <c r="AB441" i="1"/>
  <c r="V441" i="1"/>
  <c r="Z441" i="1" s="1"/>
  <c r="AG418" i="1"/>
  <c r="V418" i="1"/>
  <c r="Z418" i="1" s="1"/>
  <c r="AB418" i="1"/>
  <c r="Q443" i="1"/>
  <c r="AE436" i="1"/>
  <c r="AB407" i="1"/>
  <c r="V407" i="1"/>
  <c r="Z407" i="1" s="1"/>
  <c r="Q432" i="1"/>
  <c r="AE457" i="1"/>
  <c r="Q416" i="1"/>
  <c r="AB414" i="1"/>
  <c r="V414" i="1"/>
  <c r="Z414" i="1" s="1"/>
  <c r="AE399" i="1"/>
  <c r="AE397" i="1"/>
  <c r="AE452" i="1"/>
  <c r="AE425" i="1"/>
  <c r="AE417" i="1"/>
  <c r="AB413" i="1"/>
  <c r="V413" i="1"/>
  <c r="Z413" i="1" s="1"/>
  <c r="AB396" i="1"/>
  <c r="Q396" i="1"/>
  <c r="AD423" i="1"/>
  <c r="Q404" i="1"/>
  <c r="AB462" i="1" l="1"/>
  <c r="AA462" i="1"/>
  <c r="Q447" i="1"/>
  <c r="AA450" i="1"/>
  <c r="AE389" i="1"/>
  <c r="V462" i="1"/>
  <c r="Z462" i="1" s="1"/>
  <c r="AE448" i="1"/>
  <c r="Q454" i="1"/>
  <c r="AE423" i="1"/>
  <c r="AE460" i="1"/>
  <c r="AE433" i="1"/>
  <c r="S462" i="1"/>
  <c r="AE445" i="1"/>
  <c r="AE424" i="1"/>
  <c r="AB450" i="1"/>
  <c r="S450" i="1"/>
  <c r="AE449" i="1"/>
  <c r="AD410" i="1"/>
  <c r="AE410" i="1" s="1"/>
  <c r="AD454" i="1"/>
  <c r="AE454" i="1" s="1"/>
  <c r="AD443" i="1"/>
  <c r="AE443" i="1" s="1"/>
  <c r="AE420" i="1"/>
  <c r="AD400" i="1"/>
  <c r="AE400" i="1" s="1"/>
  <c r="AF400" i="1" s="1"/>
  <c r="AD396" i="1"/>
  <c r="AE396" i="1" s="1"/>
  <c r="AF396" i="1" s="1"/>
  <c r="AG385" i="1"/>
  <c r="AD416" i="1"/>
  <c r="AE416" i="1" s="1"/>
  <c r="AD391" i="1"/>
  <c r="AE391" i="1" s="1"/>
  <c r="AF391" i="1" s="1"/>
  <c r="AE430" i="1"/>
  <c r="AE434" i="1"/>
  <c r="AE419" i="1"/>
  <c r="AF408" i="1"/>
  <c r="AE451" i="1"/>
  <c r="AF401" i="1"/>
  <c r="AE406" i="1"/>
  <c r="AE446" i="1"/>
  <c r="AE455" i="1"/>
  <c r="AE387" i="1"/>
  <c r="AE412" i="1"/>
  <c r="AD385" i="1"/>
  <c r="AE385" i="1" s="1"/>
  <c r="AE413" i="1"/>
  <c r="AE407" i="1"/>
  <c r="AE441" i="1"/>
  <c r="AD404" i="1"/>
  <c r="AE404" i="1" s="1"/>
  <c r="AG404" i="1"/>
  <c r="AE414" i="1"/>
  <c r="AG435" i="1"/>
  <c r="AD432" i="1"/>
  <c r="AE432" i="1" s="1"/>
  <c r="AE418" i="1"/>
  <c r="AE444" i="1"/>
  <c r="AE459" i="1"/>
  <c r="AE450" i="1" l="1"/>
  <c r="AF447" i="1" s="1"/>
  <c r="AE462" i="1"/>
  <c r="AF454" i="1" s="1"/>
  <c r="AL421" i="1"/>
  <c r="AF422" i="1"/>
  <c r="AF443" i="1"/>
  <c r="AF385" i="1"/>
  <c r="AF404" i="1"/>
  <c r="AF410" i="1"/>
  <c r="AF416" i="1"/>
  <c r="AF432" i="1"/>
  <c r="AG176" i="1" l="1"/>
  <c r="AD142" i="1"/>
  <c r="Z142" i="1"/>
  <c r="K142" i="1"/>
  <c r="L142" i="1" l="1"/>
  <c r="P142" i="1" s="1"/>
  <c r="S142" i="1" l="1"/>
  <c r="AA142" i="1"/>
  <c r="AB142" i="1"/>
  <c r="AD384" i="1"/>
  <c r="AD383" i="1"/>
  <c r="Z383" i="1"/>
  <c r="K383" i="1"/>
  <c r="AD381" i="1"/>
  <c r="AD380" i="1"/>
  <c r="AB380" i="1"/>
  <c r="AA380" i="1"/>
  <c r="V380" i="1"/>
  <c r="Z380" i="1" s="1"/>
  <c r="S380" i="1"/>
  <c r="AD379" i="1"/>
  <c r="L379" i="1"/>
  <c r="P379" i="1" s="1"/>
  <c r="AA379" i="1" s="1"/>
  <c r="AD378" i="1"/>
  <c r="AB378" i="1"/>
  <c r="AA378" i="1"/>
  <c r="V378" i="1"/>
  <c r="Z378" i="1" s="1"/>
  <c r="S378" i="1"/>
  <c r="K377" i="1"/>
  <c r="AD376" i="1"/>
  <c r="AE376" i="1" s="1"/>
  <c r="AD375" i="1"/>
  <c r="Z375" i="1"/>
  <c r="K375" i="1"/>
  <c r="AD374" i="1"/>
  <c r="Z374" i="1"/>
  <c r="K374" i="1"/>
  <c r="AD373" i="1"/>
  <c r="V373" i="1"/>
  <c r="Z373" i="1" s="1"/>
  <c r="K373" i="1"/>
  <c r="Z372" i="1"/>
  <c r="K372" i="1"/>
  <c r="K371" i="1"/>
  <c r="AD370" i="1"/>
  <c r="AD369" i="1"/>
  <c r="K369" i="1"/>
  <c r="AD368" i="1"/>
  <c r="AD367" i="1"/>
  <c r="K367" i="1"/>
  <c r="AD366" i="1"/>
  <c r="AA366" i="1"/>
  <c r="AD365" i="1"/>
  <c r="K365" i="1"/>
  <c r="AD364" i="1"/>
  <c r="V364" i="1"/>
  <c r="Z364" i="1" s="1"/>
  <c r="AD363" i="1"/>
  <c r="Z363" i="1"/>
  <c r="Z362" i="1"/>
  <c r="K362" i="1"/>
  <c r="AD361" i="1"/>
  <c r="V361" i="1"/>
  <c r="Z361" i="1" s="1"/>
  <c r="AG360" i="1"/>
  <c r="AD360" i="1"/>
  <c r="V360" i="1"/>
  <c r="Z360" i="1" s="1"/>
  <c r="K360" i="1"/>
  <c r="AD359" i="1"/>
  <c r="Z359" i="1"/>
  <c r="L359" i="1"/>
  <c r="AD358" i="1"/>
  <c r="AA358" i="1"/>
  <c r="AD357" i="1"/>
  <c r="L357" i="1"/>
  <c r="P357" i="1" s="1"/>
  <c r="AA357" i="1" s="1"/>
  <c r="AD356" i="1"/>
  <c r="AA356" i="1"/>
  <c r="AD355" i="1"/>
  <c r="L355" i="1"/>
  <c r="P355" i="1" s="1"/>
  <c r="AA355" i="1" s="1"/>
  <c r="AD354" i="1"/>
  <c r="AA354" i="1"/>
  <c r="K353" i="1"/>
  <c r="AD352" i="1"/>
  <c r="Z352" i="1"/>
  <c r="AA352" i="1"/>
  <c r="AD351" i="1"/>
  <c r="K351" i="1"/>
  <c r="AD350" i="1"/>
  <c r="Z350" i="1"/>
  <c r="AA350" i="1"/>
  <c r="AD349" i="1"/>
  <c r="K349" i="1"/>
  <c r="AD348" i="1"/>
  <c r="Z348" i="1"/>
  <c r="AA348" i="1"/>
  <c r="AD347" i="1"/>
  <c r="K347" i="1"/>
  <c r="AD346" i="1"/>
  <c r="AD345" i="1"/>
  <c r="Z345" i="1"/>
  <c r="AB345" i="1"/>
  <c r="AD344" i="1"/>
  <c r="K344" i="1"/>
  <c r="AD342" i="1"/>
  <c r="K342" i="1"/>
  <c r="AD341" i="1"/>
  <c r="K341" i="1"/>
  <c r="AD340" i="1"/>
  <c r="AD339" i="1"/>
  <c r="Z339" i="1"/>
  <c r="T339" i="1"/>
  <c r="K339" i="1"/>
  <c r="P339" i="1" s="1"/>
  <c r="AA339" i="1" s="1"/>
  <c r="AD338" i="1"/>
  <c r="N338" i="1"/>
  <c r="P338" i="1" s="1"/>
  <c r="AD337" i="1"/>
  <c r="Z337" i="1"/>
  <c r="L337" i="1"/>
  <c r="P337" i="1" s="1"/>
  <c r="AA337" i="1" s="1"/>
  <c r="AD336" i="1"/>
  <c r="AB336" i="1"/>
  <c r="AD335" i="1"/>
  <c r="AD334" i="1"/>
  <c r="L334" i="1"/>
  <c r="AD333" i="1"/>
  <c r="AD332" i="1"/>
  <c r="AE332" i="1" s="1"/>
  <c r="AD331" i="1"/>
  <c r="L331" i="1"/>
  <c r="P331" i="1" s="1"/>
  <c r="AA331" i="1" s="1"/>
  <c r="AD330" i="1"/>
  <c r="AB330" i="1"/>
  <c r="AA330" i="1"/>
  <c r="Z330" i="1"/>
  <c r="S330" i="1"/>
  <c r="AD329" i="1"/>
  <c r="Z329" i="1"/>
  <c r="K329" i="1"/>
  <c r="AD328" i="1"/>
  <c r="L328" i="1"/>
  <c r="AD327" i="1"/>
  <c r="L326" i="1"/>
  <c r="P326" i="1" s="1"/>
  <c r="AA326" i="1" s="1"/>
  <c r="AD325" i="1"/>
  <c r="AE325" i="1" s="1"/>
  <c r="AD324" i="1"/>
  <c r="Z324" i="1"/>
  <c r="K324" i="1"/>
  <c r="AD323" i="1"/>
  <c r="Z323" i="1"/>
  <c r="L323" i="1"/>
  <c r="P323" i="1" s="1"/>
  <c r="AA323" i="1" s="1"/>
  <c r="AD322" i="1"/>
  <c r="Z322" i="1"/>
  <c r="AD321" i="1"/>
  <c r="Z321" i="1"/>
  <c r="AD320" i="1"/>
  <c r="Z320" i="1"/>
  <c r="AD319" i="1"/>
  <c r="Z319" i="1"/>
  <c r="AD318" i="1"/>
  <c r="Z318" i="1"/>
  <c r="L318" i="1"/>
  <c r="AD317" i="1"/>
  <c r="Z317" i="1"/>
  <c r="K317" i="1"/>
  <c r="AD316" i="1"/>
  <c r="Z316" i="1"/>
  <c r="K316" i="1"/>
  <c r="Z315" i="1"/>
  <c r="O315" i="1"/>
  <c r="P315" i="1" s="1"/>
  <c r="AA315" i="1" s="1"/>
  <c r="AD314" i="1"/>
  <c r="AB314" i="1"/>
  <c r="AD313" i="1"/>
  <c r="K313" i="1"/>
  <c r="AD312" i="1"/>
  <c r="K312" i="1"/>
  <c r="AD311" i="1"/>
  <c r="AA311" i="1"/>
  <c r="AD310" i="1"/>
  <c r="Z310" i="1"/>
  <c r="L310" i="1"/>
  <c r="K310" i="1"/>
  <c r="Z309" i="1"/>
  <c r="L309" i="1"/>
  <c r="AD308" i="1"/>
  <c r="Z308" i="1"/>
  <c r="AD307" i="1"/>
  <c r="K307" i="1"/>
  <c r="AD306" i="1"/>
  <c r="Z306" i="1"/>
  <c r="K306" i="1"/>
  <c r="AD305" i="1"/>
  <c r="AB305" i="1"/>
  <c r="V305" i="1"/>
  <c r="Z305" i="1" s="1"/>
  <c r="AD304" i="1"/>
  <c r="Z304" i="1"/>
  <c r="K304" i="1"/>
  <c r="AD303" i="1"/>
  <c r="K303" i="1"/>
  <c r="AD302" i="1"/>
  <c r="L302" i="1"/>
  <c r="Z301" i="1"/>
  <c r="K301" i="1"/>
  <c r="Z300" i="1"/>
  <c r="AD299" i="1"/>
  <c r="AB299" i="1"/>
  <c r="AD298" i="1"/>
  <c r="Z298" i="1"/>
  <c r="AD297" i="1"/>
  <c r="Z297" i="1"/>
  <c r="L297" i="1"/>
  <c r="P297" i="1" s="1"/>
  <c r="AA297" i="1" s="1"/>
  <c r="AD296" i="1"/>
  <c r="K296" i="1"/>
  <c r="AD295" i="1"/>
  <c r="K295" i="1"/>
  <c r="AD294" i="1"/>
  <c r="K294" i="1"/>
  <c r="AD293" i="1"/>
  <c r="L293" i="1"/>
  <c r="K293" i="1"/>
  <c r="AD291" i="1"/>
  <c r="Z291" i="1"/>
  <c r="K291" i="1"/>
  <c r="AD290" i="1"/>
  <c r="Z290" i="1"/>
  <c r="K290" i="1"/>
  <c r="AD289" i="1"/>
  <c r="Z289" i="1"/>
  <c r="K289" i="1"/>
  <c r="AD288" i="1"/>
  <c r="L288" i="1"/>
  <c r="P288" i="1" s="1"/>
  <c r="AA288" i="1" s="1"/>
  <c r="AD287" i="1"/>
  <c r="L287" i="1"/>
  <c r="K287" i="1"/>
  <c r="AD286" i="1"/>
  <c r="L286" i="1"/>
  <c r="K286" i="1"/>
  <c r="AD285" i="1"/>
  <c r="K284" i="1"/>
  <c r="L283" i="1"/>
  <c r="P283" i="1" s="1"/>
  <c r="AA283" i="1" s="1"/>
  <c r="AD282" i="1"/>
  <c r="Z282" i="1"/>
  <c r="L282" i="1"/>
  <c r="AD281" i="1"/>
  <c r="L281" i="1"/>
  <c r="AD280" i="1"/>
  <c r="L280" i="1"/>
  <c r="P280" i="1" s="1"/>
  <c r="AA280" i="1" s="1"/>
  <c r="AD279" i="1"/>
  <c r="K279" i="1"/>
  <c r="Z278" i="1"/>
  <c r="Z277" i="1"/>
  <c r="AD276" i="1"/>
  <c r="AE276" i="1" s="1"/>
  <c r="AD275" i="1"/>
  <c r="AD274" i="1"/>
  <c r="AE274" i="1" s="1"/>
  <c r="AD273" i="1"/>
  <c r="AE273" i="1" s="1"/>
  <c r="AD272" i="1"/>
  <c r="L272" i="1"/>
  <c r="AD271" i="1"/>
  <c r="AE271" i="1" s="1"/>
  <c r="AD270" i="1"/>
  <c r="K270" i="1"/>
  <c r="AD268" i="1"/>
  <c r="Z268" i="1"/>
  <c r="K268" i="1"/>
  <c r="AD267" i="1"/>
  <c r="AE267" i="1" s="1"/>
  <c r="AD266" i="1"/>
  <c r="L266" i="1"/>
  <c r="P266" i="1" s="1"/>
  <c r="AA266" i="1" s="1"/>
  <c r="AD265" i="1"/>
  <c r="L265" i="1"/>
  <c r="K265" i="1"/>
  <c r="K263" i="1"/>
  <c r="AD262" i="1"/>
  <c r="Z262" i="1"/>
  <c r="AD261" i="1"/>
  <c r="Z261" i="1"/>
  <c r="S261" i="1"/>
  <c r="Z260" i="1"/>
  <c r="K260" i="1"/>
  <c r="AD259" i="1"/>
  <c r="Z259" i="1"/>
  <c r="AA259" i="1"/>
  <c r="AD258" i="1"/>
  <c r="Z258" i="1"/>
  <c r="K258" i="1"/>
  <c r="AD257" i="1"/>
  <c r="AD256" i="1"/>
  <c r="V256" i="1"/>
  <c r="Z256" i="1" s="1"/>
  <c r="AA256" i="1"/>
  <c r="AD255" i="1"/>
  <c r="Z255" i="1"/>
  <c r="K255" i="1"/>
  <c r="Z254" i="1"/>
  <c r="AD253" i="1"/>
  <c r="K253" i="1"/>
  <c r="AD252" i="1"/>
  <c r="K252" i="1"/>
  <c r="K251" i="1"/>
  <c r="Z250" i="1"/>
  <c r="K250" i="1"/>
  <c r="AD249" i="1"/>
  <c r="K249" i="1"/>
  <c r="AD248" i="1"/>
  <c r="L248" i="1"/>
  <c r="P248" i="1" s="1"/>
  <c r="AA248" i="1" s="1"/>
  <c r="AD247" i="1"/>
  <c r="L247" i="1"/>
  <c r="P247" i="1" s="1"/>
  <c r="AA247" i="1" s="1"/>
  <c r="AD246" i="1"/>
  <c r="K246" i="1"/>
  <c r="Z245" i="1"/>
  <c r="AD244" i="1"/>
  <c r="Z244" i="1"/>
  <c r="AD243" i="1"/>
  <c r="Z243" i="1"/>
  <c r="K243" i="1"/>
  <c r="AD242" i="1"/>
  <c r="L242" i="1"/>
  <c r="K242" i="1"/>
  <c r="AD241" i="1"/>
  <c r="AD240" i="1"/>
  <c r="Z240" i="1"/>
  <c r="K240" i="1"/>
  <c r="Z239" i="1"/>
  <c r="AD238" i="1"/>
  <c r="Z238" i="1"/>
  <c r="K238" i="1"/>
  <c r="K237" i="1"/>
  <c r="AD236" i="1"/>
  <c r="AE236" i="1" s="1"/>
  <c r="AD235" i="1"/>
  <c r="L235" i="1"/>
  <c r="P235" i="1" s="1"/>
  <c r="AA235" i="1" s="1"/>
  <c r="K234" i="1"/>
  <c r="AD233" i="1"/>
  <c r="L233" i="1"/>
  <c r="AD232" i="1"/>
  <c r="Z232" i="1"/>
  <c r="K232" i="1"/>
  <c r="AD231" i="1"/>
  <c r="AD230" i="1"/>
  <c r="L230" i="1"/>
  <c r="P230" i="1" s="1"/>
  <c r="AA230" i="1" s="1"/>
  <c r="L229" i="1"/>
  <c r="P229" i="1" s="1"/>
  <c r="AA229" i="1" s="1"/>
  <c r="AD228" i="1"/>
  <c r="Z228" i="1"/>
  <c r="O228" i="1"/>
  <c r="L228" i="1"/>
  <c r="K228" i="1"/>
  <c r="AD227" i="1"/>
  <c r="L227" i="1"/>
  <c r="K227" i="1"/>
  <c r="AD226" i="1"/>
  <c r="L226" i="1"/>
  <c r="K226" i="1"/>
  <c r="AD224" i="1"/>
  <c r="K224" i="1"/>
  <c r="AD223" i="1"/>
  <c r="Z223" i="1"/>
  <c r="AD222" i="1"/>
  <c r="Z222" i="1"/>
  <c r="K222" i="1"/>
  <c r="AD221" i="1"/>
  <c r="L221" i="1"/>
  <c r="AD220" i="1"/>
  <c r="L220" i="1"/>
  <c r="AD219" i="1"/>
  <c r="Z219" i="1"/>
  <c r="AD218" i="1"/>
  <c r="Z218" i="1"/>
  <c r="AD217" i="1"/>
  <c r="Z217" i="1"/>
  <c r="L217" i="1"/>
  <c r="P217" i="1" s="1"/>
  <c r="AA217" i="1" s="1"/>
  <c r="AD216" i="1"/>
  <c r="Z216" i="1"/>
  <c r="AB216" i="1"/>
  <c r="Z215" i="1"/>
  <c r="AD214" i="1"/>
  <c r="AD213" i="1"/>
  <c r="K213" i="1"/>
  <c r="AD212" i="1"/>
  <c r="L212" i="1"/>
  <c r="P212" i="1" s="1"/>
  <c r="AA212" i="1" s="1"/>
  <c r="AD211" i="1"/>
  <c r="AA211" i="1"/>
  <c r="AD210" i="1"/>
  <c r="K210" i="1"/>
  <c r="V209" i="1"/>
  <c r="Z209" i="1" s="1"/>
  <c r="K209" i="1"/>
  <c r="P209" i="1" s="1"/>
  <c r="AA209" i="1" s="1"/>
  <c r="AD208" i="1"/>
  <c r="L208" i="1"/>
  <c r="P208" i="1" s="1"/>
  <c r="AA208" i="1" s="1"/>
  <c r="AD207" i="1"/>
  <c r="Z207" i="1"/>
  <c r="AB207" i="1"/>
  <c r="AD206" i="1"/>
  <c r="Z206" i="1"/>
  <c r="K206" i="1"/>
  <c r="AD204" i="1"/>
  <c r="AD203" i="1"/>
  <c r="S203" i="1"/>
  <c r="AB203" i="1"/>
  <c r="T202" i="1"/>
  <c r="L202" i="1"/>
  <c r="P202" i="1" s="1"/>
  <c r="AA202" i="1" s="1"/>
  <c r="AD201" i="1"/>
  <c r="L201" i="1"/>
  <c r="K201" i="1"/>
  <c r="P201" i="1" s="1"/>
  <c r="AA201" i="1" s="1"/>
  <c r="AD200" i="1"/>
  <c r="Z200" i="1"/>
  <c r="AB200" i="1"/>
  <c r="AD199" i="1"/>
  <c r="Z199" i="1"/>
  <c r="L199" i="1"/>
  <c r="K199" i="1"/>
  <c r="AD198" i="1"/>
  <c r="Z198" i="1"/>
  <c r="K198" i="1"/>
  <c r="AD196" i="1"/>
  <c r="V196" i="1"/>
  <c r="Z196" i="1" s="1"/>
  <c r="K196" i="1"/>
  <c r="AD195" i="1"/>
  <c r="Z195" i="1"/>
  <c r="K195" i="1"/>
  <c r="P195" i="1" s="1"/>
  <c r="AA195" i="1" s="1"/>
  <c r="AD194" i="1"/>
  <c r="K194" i="1"/>
  <c r="P194" i="1" s="1"/>
  <c r="AA194" i="1" s="1"/>
  <c r="AD193" i="1"/>
  <c r="L191" i="1"/>
  <c r="K191" i="1"/>
  <c r="AD190" i="1"/>
  <c r="K190" i="1"/>
  <c r="AD189" i="1"/>
  <c r="Z189" i="1"/>
  <c r="AB189" i="1"/>
  <c r="Z188" i="1"/>
  <c r="K188" i="1"/>
  <c r="AD187" i="1"/>
  <c r="X187" i="1"/>
  <c r="Z187" i="1" s="1"/>
  <c r="AB187" i="1"/>
  <c r="AD186" i="1"/>
  <c r="AB186" i="1"/>
  <c r="AA186" i="1"/>
  <c r="Z186" i="1"/>
  <c r="S186" i="1"/>
  <c r="V185" i="1"/>
  <c r="Z185" i="1" s="1"/>
  <c r="K185" i="1"/>
  <c r="L184" i="1"/>
  <c r="K184" i="1"/>
  <c r="AD183" i="1"/>
  <c r="Z183" i="1"/>
  <c r="AD182" i="1"/>
  <c r="L182" i="1"/>
  <c r="K182" i="1"/>
  <c r="AD181" i="1"/>
  <c r="Z181" i="1"/>
  <c r="Z180" i="1"/>
  <c r="AD179" i="1"/>
  <c r="Z179" i="1"/>
  <c r="AA179" i="1"/>
  <c r="AD178" i="1"/>
  <c r="Z178" i="1"/>
  <c r="AB178" i="1"/>
  <c r="Z177" i="1"/>
  <c r="AD176" i="1"/>
  <c r="Z176" i="1"/>
  <c r="AD175" i="1"/>
  <c r="Z175" i="1"/>
  <c r="Z174" i="1"/>
  <c r="K174" i="1"/>
  <c r="AD173" i="1"/>
  <c r="AD172" i="1"/>
  <c r="L172" i="1"/>
  <c r="K172" i="1"/>
  <c r="L171" i="1"/>
  <c r="K171" i="1"/>
  <c r="AD170" i="1"/>
  <c r="AD169" i="1"/>
  <c r="L168" i="1"/>
  <c r="L167" i="1"/>
  <c r="AD166" i="1"/>
  <c r="L166" i="1"/>
  <c r="AD165" i="1"/>
  <c r="Z164" i="1"/>
  <c r="AD163" i="1"/>
  <c r="K163" i="1"/>
  <c r="AD162" i="1"/>
  <c r="AD161" i="1"/>
  <c r="AD160" i="1"/>
  <c r="L160" i="1"/>
  <c r="P160" i="1" s="1"/>
  <c r="AA160" i="1" s="1"/>
  <c r="L159" i="1"/>
  <c r="P159" i="1" s="1"/>
  <c r="AA159" i="1" s="1"/>
  <c r="AD158" i="1"/>
  <c r="AE158" i="1" s="1"/>
  <c r="AD157" i="1"/>
  <c r="L157" i="1"/>
  <c r="AD156" i="1"/>
  <c r="AE156" i="1" s="1"/>
  <c r="AD155" i="1"/>
  <c r="K155" i="1"/>
  <c r="AD154" i="1"/>
  <c r="AB154" i="1"/>
  <c r="V154" i="1"/>
  <c r="Z154" i="1" s="1"/>
  <c r="K153" i="1"/>
  <c r="AD152" i="1"/>
  <c r="AB152" i="1"/>
  <c r="AA152" i="1"/>
  <c r="V152" i="1"/>
  <c r="Z152" i="1" s="1"/>
  <c r="S152" i="1"/>
  <c r="AD151" i="1"/>
  <c r="L151" i="1"/>
  <c r="P151" i="1" s="1"/>
  <c r="AA151" i="1" s="1"/>
  <c r="AD150" i="1"/>
  <c r="L150" i="1"/>
  <c r="K150" i="1"/>
  <c r="AD149" i="1"/>
  <c r="AD148" i="1"/>
  <c r="K147" i="1"/>
  <c r="AD146" i="1"/>
  <c r="L145" i="1"/>
  <c r="AD144" i="1"/>
  <c r="Z144" i="1"/>
  <c r="K144" i="1"/>
  <c r="AD143" i="1"/>
  <c r="AD141" i="1"/>
  <c r="Z141" i="1"/>
  <c r="L141" i="1"/>
  <c r="P141" i="1" s="1"/>
  <c r="AA141" i="1" s="1"/>
  <c r="Z140" i="1"/>
  <c r="L140" i="1"/>
  <c r="AD139" i="1"/>
  <c r="K139" i="1"/>
  <c r="AD138" i="1"/>
  <c r="L138" i="1"/>
  <c r="P138" i="1" s="1"/>
  <c r="AA138" i="1" s="1"/>
  <c r="AD137" i="1"/>
  <c r="K137" i="1"/>
  <c r="AD136" i="1"/>
  <c r="K136" i="1"/>
  <c r="K135" i="1"/>
  <c r="Q134" i="1"/>
  <c r="K134" i="1"/>
  <c r="AD133" i="1"/>
  <c r="L133" i="1"/>
  <c r="AD132" i="1"/>
  <c r="T132" i="1"/>
  <c r="L132" i="1"/>
  <c r="K132" i="1"/>
  <c r="AD131" i="1"/>
  <c r="S131" i="1"/>
  <c r="AB131" i="1"/>
  <c r="AD130" i="1"/>
  <c r="K130" i="1"/>
  <c r="AD129" i="1"/>
  <c r="L129" i="1"/>
  <c r="L128" i="1"/>
  <c r="AD127" i="1"/>
  <c r="AB127" i="1"/>
  <c r="AD126" i="1"/>
  <c r="Z126" i="1"/>
  <c r="L126" i="1"/>
  <c r="P126" i="1" s="1"/>
  <c r="AA126" i="1" s="1"/>
  <c r="AD125" i="1"/>
  <c r="Z125" i="1"/>
  <c r="O125" i="1"/>
  <c r="P125" i="1" s="1"/>
  <c r="AA125" i="1" s="1"/>
  <c r="AD124" i="1"/>
  <c r="AD123" i="1"/>
  <c r="K123" i="1"/>
  <c r="AD122" i="1"/>
  <c r="Z122" i="1"/>
  <c r="L122" i="1"/>
  <c r="K122" i="1"/>
  <c r="Z121" i="1"/>
  <c r="AD120" i="1"/>
  <c r="L119" i="1"/>
  <c r="P119" i="1" s="1"/>
  <c r="AA119" i="1" s="1"/>
  <c r="AD118" i="1"/>
  <c r="AD117" i="1"/>
  <c r="K117" i="1"/>
  <c r="AD116" i="1"/>
  <c r="K116" i="1"/>
  <c r="AD115" i="1"/>
  <c r="K114" i="1"/>
  <c r="AD113" i="1"/>
  <c r="Z113" i="1"/>
  <c r="K113" i="1"/>
  <c r="AD112" i="1"/>
  <c r="Z112" i="1"/>
  <c r="AB112" i="1"/>
  <c r="AD111" i="1"/>
  <c r="V111" i="1"/>
  <c r="Z111" i="1" s="1"/>
  <c r="L111" i="1"/>
  <c r="P111" i="1" s="1"/>
  <c r="AA111" i="1" s="1"/>
  <c r="K110" i="1"/>
  <c r="AD109" i="1"/>
  <c r="AD108" i="1"/>
  <c r="Z107" i="1"/>
  <c r="Q107" i="1"/>
  <c r="K107" i="1"/>
  <c r="P107" i="1" s="1"/>
  <c r="AA107" i="1" s="1"/>
  <c r="AD106" i="1"/>
  <c r="Z106" i="1"/>
  <c r="K106" i="1"/>
  <c r="AD105" i="1"/>
  <c r="L105" i="1"/>
  <c r="P105" i="1" s="1"/>
  <c r="AA105" i="1" s="1"/>
  <c r="Z104" i="1"/>
  <c r="O104" i="1"/>
  <c r="L104" i="1"/>
  <c r="K104" i="1"/>
  <c r="AD103" i="1"/>
  <c r="V103" i="1"/>
  <c r="Z103" i="1" s="1"/>
  <c r="AA103" i="1"/>
  <c r="AD102" i="1"/>
  <c r="Z102" i="1"/>
  <c r="AD101" i="1"/>
  <c r="V101" i="1"/>
  <c r="Z101" i="1" s="1"/>
  <c r="AB101" i="1"/>
  <c r="AD100" i="1"/>
  <c r="Z100" i="1"/>
  <c r="AD99" i="1"/>
  <c r="V99" i="1"/>
  <c r="Z99" i="1" s="1"/>
  <c r="AA99" i="1"/>
  <c r="Z98" i="1"/>
  <c r="AD97" i="1"/>
  <c r="L97" i="1"/>
  <c r="O95" i="1"/>
  <c r="P95" i="1" s="1"/>
  <c r="AA95" i="1" s="1"/>
  <c r="K94" i="1"/>
  <c r="K93" i="1"/>
  <c r="K92" i="1"/>
  <c r="L90" i="1"/>
  <c r="K90" i="1"/>
  <c r="AD89" i="1"/>
  <c r="Z89" i="1"/>
  <c r="AA89" i="1"/>
  <c r="AD88" i="1"/>
  <c r="Z88" i="1"/>
  <c r="AA88" i="1"/>
  <c r="Z87" i="1"/>
  <c r="Q87" i="1"/>
  <c r="K87" i="1"/>
  <c r="AD86" i="1"/>
  <c r="L86" i="1"/>
  <c r="AD85" i="1"/>
  <c r="Z85" i="1"/>
  <c r="AA85" i="1"/>
  <c r="AD84" i="1"/>
  <c r="Z84" i="1"/>
  <c r="K84" i="1"/>
  <c r="AD83" i="1"/>
  <c r="L83" i="1"/>
  <c r="P83" i="1" s="1"/>
  <c r="AA83" i="1" s="1"/>
  <c r="AD82" i="1"/>
  <c r="Z82" i="1"/>
  <c r="L82" i="1"/>
  <c r="K82" i="1"/>
  <c r="AD81" i="1"/>
  <c r="K81" i="1"/>
  <c r="AD80" i="1"/>
  <c r="L80" i="1"/>
  <c r="L79" i="1"/>
  <c r="A92" i="1"/>
  <c r="A93" i="1" s="1"/>
  <c r="A94" i="1" s="1"/>
  <c r="A95" i="1" s="1"/>
  <c r="AD78" i="1"/>
  <c r="L78" i="1"/>
  <c r="K78" i="1"/>
  <c r="L77" i="1"/>
  <c r="K77" i="1"/>
  <c r="AD76" i="1"/>
  <c r="K76" i="1"/>
  <c r="AD75" i="1"/>
  <c r="AD73" i="1"/>
  <c r="AD71" i="1"/>
  <c r="Z71" i="1"/>
  <c r="AD70" i="1"/>
  <c r="K70" i="1"/>
  <c r="AD69" i="1"/>
  <c r="K68" i="1"/>
  <c r="AD67" i="1"/>
  <c r="AD66" i="1"/>
  <c r="L66" i="1"/>
  <c r="K66" i="1"/>
  <c r="K65" i="1"/>
  <c r="AD64" i="1"/>
  <c r="K64" i="1"/>
  <c r="AD63" i="1"/>
  <c r="AD62" i="1"/>
  <c r="K62" i="1"/>
  <c r="AD61" i="1"/>
  <c r="Z61" i="1"/>
  <c r="K61" i="1"/>
  <c r="AD59" i="1"/>
  <c r="Z59" i="1"/>
  <c r="AA59" i="1"/>
  <c r="AD58" i="1"/>
  <c r="Z58" i="1"/>
  <c r="L57" i="1"/>
  <c r="K57" i="1"/>
  <c r="AD56" i="1"/>
  <c r="AB56" i="1"/>
  <c r="L55" i="1"/>
  <c r="AD54" i="1"/>
  <c r="Z54" i="1"/>
  <c r="AD53" i="1"/>
  <c r="Z53" i="1"/>
  <c r="AD52" i="1"/>
  <c r="Z52" i="1"/>
  <c r="AD51" i="1"/>
  <c r="AB51" i="1"/>
  <c r="Z51" i="1"/>
  <c r="AD50" i="1"/>
  <c r="Z50" i="1"/>
  <c r="AD49" i="1"/>
  <c r="Z49" i="1"/>
  <c r="AB49" i="1"/>
  <c r="AD48" i="1"/>
  <c r="Z48" i="1"/>
  <c r="AA48" i="1"/>
  <c r="AD47" i="1"/>
  <c r="Z47" i="1"/>
  <c r="S47" i="1"/>
  <c r="Z46" i="1"/>
  <c r="L46" i="1"/>
  <c r="K46" i="1"/>
  <c r="L45" i="1"/>
  <c r="P45" i="1" s="1"/>
  <c r="AA45" i="1" s="1"/>
  <c r="AD44" i="1"/>
  <c r="Z44" i="1"/>
  <c r="AB44" i="1"/>
  <c r="Z43" i="1"/>
  <c r="AD42" i="1"/>
  <c r="Z42" i="1"/>
  <c r="Z41" i="1"/>
  <c r="L40" i="1"/>
  <c r="AD39" i="1"/>
  <c r="S39" i="1"/>
  <c r="AD37" i="1"/>
  <c r="L37" i="1"/>
  <c r="K37" i="1"/>
  <c r="L36" i="1"/>
  <c r="P36" i="1" s="1"/>
  <c r="AA36" i="1" s="1"/>
  <c r="AD35" i="1"/>
  <c r="AB35" i="1"/>
  <c r="AD34" i="1"/>
  <c r="AB34" i="1"/>
  <c r="AD33" i="1"/>
  <c r="L33" i="1"/>
  <c r="P33" i="1" s="1"/>
  <c r="AA33" i="1" s="1"/>
  <c r="AD32" i="1"/>
  <c r="AD31" i="1"/>
  <c r="Z31" i="1"/>
  <c r="AA31" i="1"/>
  <c r="AD30" i="1"/>
  <c r="L30" i="1"/>
  <c r="K30" i="1"/>
  <c r="AD29" i="1"/>
  <c r="AB29" i="1"/>
  <c r="AA29" i="1"/>
  <c r="S29" i="1"/>
  <c r="Z28" i="1"/>
  <c r="AD27" i="1"/>
  <c r="AB27" i="1"/>
  <c r="AA27" i="1"/>
  <c r="Z27" i="1"/>
  <c r="S27" i="1"/>
  <c r="AD26" i="1"/>
  <c r="V26" i="1"/>
  <c r="Z26" i="1" s="1"/>
  <c r="K26" i="1"/>
  <c r="AD25" i="1"/>
  <c r="AB25" i="1"/>
  <c r="AA25" i="1"/>
  <c r="V25" i="1"/>
  <c r="Z25" i="1" s="1"/>
  <c r="S25" i="1"/>
  <c r="AD24" i="1"/>
  <c r="L24" i="1"/>
  <c r="AD23" i="1"/>
  <c r="L23" i="1"/>
  <c r="AD22" i="1"/>
  <c r="L22" i="1"/>
  <c r="P22" i="1" s="1"/>
  <c r="AA22" i="1" s="1"/>
  <c r="L21" i="1"/>
  <c r="P21" i="1" s="1"/>
  <c r="AA21" i="1" s="1"/>
  <c r="A20" i="1"/>
  <c r="AD18" i="1"/>
  <c r="L18" i="1"/>
  <c r="P18" i="1" s="1"/>
  <c r="AA18" i="1" s="1"/>
  <c r="AD17" i="1"/>
  <c r="L17" i="1"/>
  <c r="P17" i="1" s="1"/>
  <c r="AA17" i="1" s="1"/>
  <c r="AD16" i="1"/>
  <c r="AD15" i="1"/>
  <c r="L15" i="1"/>
  <c r="P15" i="1" s="1"/>
  <c r="AA15" i="1" s="1"/>
  <c r="AD14" i="1"/>
  <c r="AE14" i="1" s="1"/>
  <c r="AD13" i="1"/>
  <c r="Z13" i="1"/>
  <c r="L13" i="1"/>
  <c r="P13" i="1" s="1"/>
  <c r="AA13" i="1" s="1"/>
  <c r="AD12" i="1"/>
  <c r="L12" i="1"/>
  <c r="K12" i="1"/>
  <c r="P82" i="1" l="1"/>
  <c r="AA82" i="1" s="1"/>
  <c r="AE142" i="1"/>
  <c r="P12" i="1"/>
  <c r="AA12" i="1" s="1"/>
  <c r="P30" i="1"/>
  <c r="AA30" i="1" s="1"/>
  <c r="P46" i="1"/>
  <c r="AA46" i="1" s="1"/>
  <c r="P122" i="1"/>
  <c r="AA122" i="1" s="1"/>
  <c r="P132" i="1"/>
  <c r="AA132" i="1" s="1"/>
  <c r="AD87" i="1"/>
  <c r="AD134" i="1"/>
  <c r="AD107" i="1"/>
  <c r="P228" i="1"/>
  <c r="AA228" i="1" s="1"/>
  <c r="P287" i="1"/>
  <c r="P24" i="1"/>
  <c r="P55" i="1"/>
  <c r="P80" i="1"/>
  <c r="AA80" i="1" s="1"/>
  <c r="P86" i="1"/>
  <c r="L106" i="1"/>
  <c r="P106" i="1" s="1"/>
  <c r="L110" i="1"/>
  <c r="P110" i="1" s="1"/>
  <c r="P128" i="1"/>
  <c r="P133" i="1"/>
  <c r="P168" i="1"/>
  <c r="AA168" i="1" s="1"/>
  <c r="L188" i="1"/>
  <c r="P188" i="1" s="1"/>
  <c r="P233" i="1"/>
  <c r="L263" i="1"/>
  <c r="P263" i="1" s="1"/>
  <c r="L290" i="1"/>
  <c r="P290" i="1" s="1"/>
  <c r="L301" i="1"/>
  <c r="P301" i="1" s="1"/>
  <c r="L303" i="1"/>
  <c r="P303" i="1" s="1"/>
  <c r="L307" i="1"/>
  <c r="P307" i="1" s="1"/>
  <c r="AA307" i="1" s="1"/>
  <c r="P309" i="1"/>
  <c r="AA309" i="1" s="1"/>
  <c r="L312" i="1"/>
  <c r="P312" i="1" s="1"/>
  <c r="AA312" i="1" s="1"/>
  <c r="L316" i="1"/>
  <c r="P316" i="1" s="1"/>
  <c r="L324" i="1"/>
  <c r="P324" i="1" s="1"/>
  <c r="L329" i="1"/>
  <c r="P329" i="1" s="1"/>
  <c r="AA329" i="1" s="1"/>
  <c r="P334" i="1"/>
  <c r="L371" i="1"/>
  <c r="P371" i="1" s="1"/>
  <c r="P26" i="1"/>
  <c r="AA26" i="1" s="1"/>
  <c r="P40" i="1"/>
  <c r="L68" i="1"/>
  <c r="P68" i="1" s="1"/>
  <c r="L76" i="1"/>
  <c r="P76" i="1" s="1"/>
  <c r="AA76" i="1" s="1"/>
  <c r="P79" i="1"/>
  <c r="L94" i="1"/>
  <c r="P94" i="1" s="1"/>
  <c r="AA94" i="1" s="1"/>
  <c r="P167" i="1"/>
  <c r="P220" i="1"/>
  <c r="P238" i="1"/>
  <c r="L268" i="1"/>
  <c r="P268" i="1" s="1"/>
  <c r="AA268" i="1" s="1"/>
  <c r="P282" i="1"/>
  <c r="AA282" i="1" s="1"/>
  <c r="L291" i="1"/>
  <c r="P291" i="1" s="1"/>
  <c r="L295" i="1"/>
  <c r="P295" i="1" s="1"/>
  <c r="AA295" i="1" s="1"/>
  <c r="L317" i="1"/>
  <c r="P317" i="1" s="1"/>
  <c r="L341" i="1"/>
  <c r="P341" i="1" s="1"/>
  <c r="L344" i="1"/>
  <c r="P344" i="1" s="1"/>
  <c r="P359" i="1"/>
  <c r="AA359" i="1" s="1"/>
  <c r="L373" i="1"/>
  <c r="P373" i="1" s="1"/>
  <c r="AA373" i="1" s="1"/>
  <c r="L383" i="1"/>
  <c r="P383" i="1" s="1"/>
  <c r="P23" i="1"/>
  <c r="AA23" i="1" s="1"/>
  <c r="P65" i="1"/>
  <c r="L81" i="1"/>
  <c r="P81" i="1" s="1"/>
  <c r="L84" i="1"/>
  <c r="P84" i="1" s="1"/>
  <c r="AA84" i="1" s="1"/>
  <c r="L87" i="1"/>
  <c r="P87" i="1" s="1"/>
  <c r="P97" i="1"/>
  <c r="P134" i="1"/>
  <c r="AA134" i="1" s="1"/>
  <c r="P145" i="1"/>
  <c r="P237" i="1"/>
  <c r="AA237" i="1" s="1"/>
  <c r="L270" i="1"/>
  <c r="P270" i="1" s="1"/>
  <c r="AA270" i="1" s="1"/>
  <c r="P302" i="1"/>
  <c r="L313" i="1"/>
  <c r="P313" i="1" s="1"/>
  <c r="AA313" i="1" s="1"/>
  <c r="P318" i="1"/>
  <c r="P328" i="1"/>
  <c r="AA328" i="1" s="1"/>
  <c r="L360" i="1"/>
  <c r="P360" i="1" s="1"/>
  <c r="AA360" i="1" s="1"/>
  <c r="L365" i="1"/>
  <c r="P365" i="1" s="1"/>
  <c r="AA365" i="1" s="1"/>
  <c r="L374" i="1"/>
  <c r="L70" i="1"/>
  <c r="P70" i="1" s="1"/>
  <c r="L92" i="1"/>
  <c r="P92" i="1" s="1"/>
  <c r="P129" i="1"/>
  <c r="L136" i="1"/>
  <c r="P136" i="1" s="1"/>
  <c r="AA136" i="1" s="1"/>
  <c r="P140" i="1"/>
  <c r="P157" i="1"/>
  <c r="AA157" i="1" s="1"/>
  <c r="L163" i="1"/>
  <c r="P163" i="1" s="1"/>
  <c r="P166" i="1"/>
  <c r="L174" i="1"/>
  <c r="P174" i="1" s="1"/>
  <c r="L185" i="1"/>
  <c r="P185" i="1" s="1"/>
  <c r="P190" i="1"/>
  <c r="L213" i="1"/>
  <c r="P213" i="1" s="1"/>
  <c r="AA213" i="1" s="1"/>
  <c r="P221" i="1"/>
  <c r="P253" i="1"/>
  <c r="AA253" i="1" s="1"/>
  <c r="P272" i="1"/>
  <c r="L279" i="1"/>
  <c r="P279" i="1" s="1"/>
  <c r="L289" i="1"/>
  <c r="P289" i="1" s="1"/>
  <c r="L294" i="1"/>
  <c r="P294" i="1" s="1"/>
  <c r="L296" i="1"/>
  <c r="P296" i="1" s="1"/>
  <c r="L306" i="1"/>
  <c r="P306" i="1" s="1"/>
  <c r="AA306" i="1" s="1"/>
  <c r="L342" i="1"/>
  <c r="P342" i="1" s="1"/>
  <c r="AA342" i="1" s="1"/>
  <c r="L347" i="1"/>
  <c r="P347" i="1" s="1"/>
  <c r="L369" i="1"/>
  <c r="P369" i="1" s="1"/>
  <c r="L372" i="1"/>
  <c r="P372" i="1" s="1"/>
  <c r="AA372" i="1" s="1"/>
  <c r="L375" i="1"/>
  <c r="P375" i="1" s="1"/>
  <c r="P57" i="1"/>
  <c r="P66" i="1"/>
  <c r="AA66" i="1" s="1"/>
  <c r="P78" i="1"/>
  <c r="AA78" i="1" s="1"/>
  <c r="P90" i="1"/>
  <c r="P150" i="1"/>
  <c r="AA150" i="1" s="1"/>
  <c r="P171" i="1"/>
  <c r="AA171" i="1" s="1"/>
  <c r="P191" i="1"/>
  <c r="P242" i="1"/>
  <c r="AA242" i="1" s="1"/>
  <c r="P37" i="1"/>
  <c r="AA37" i="1" s="1"/>
  <c r="P104" i="1"/>
  <c r="P184" i="1"/>
  <c r="P226" i="1"/>
  <c r="AA226" i="1" s="1"/>
  <c r="P293" i="1"/>
  <c r="P310" i="1"/>
  <c r="P77" i="1"/>
  <c r="P172" i="1"/>
  <c r="AA172" i="1" s="1"/>
  <c r="P182" i="1"/>
  <c r="P199" i="1"/>
  <c r="AA199" i="1" s="1"/>
  <c r="P227" i="1"/>
  <c r="V227" i="1" s="1"/>
  <c r="Z227" i="1" s="1"/>
  <c r="P265" i="1"/>
  <c r="P286" i="1"/>
  <c r="T338" i="1"/>
  <c r="T10" i="1" s="1"/>
  <c r="N10" i="1"/>
  <c r="S287" i="1"/>
  <c r="S132" i="1"/>
  <c r="AB266" i="1"/>
  <c r="S266" i="1"/>
  <c r="S20" i="1"/>
  <c r="S38" i="1"/>
  <c r="S95" i="1"/>
  <c r="AB111" i="1"/>
  <c r="S111" i="1"/>
  <c r="S118" i="1"/>
  <c r="AB141" i="1"/>
  <c r="S141" i="1"/>
  <c r="S149" i="1"/>
  <c r="S160" i="1"/>
  <c r="S162" i="1"/>
  <c r="AB169" i="1"/>
  <c r="S169" i="1"/>
  <c r="V194" i="1"/>
  <c r="Z194" i="1" s="1"/>
  <c r="S194" i="1"/>
  <c r="AB209" i="1"/>
  <c r="S209" i="1"/>
  <c r="S215" i="1"/>
  <c r="AB218" i="1"/>
  <c r="S218" i="1"/>
  <c r="AG248" i="1"/>
  <c r="S248" i="1"/>
  <c r="AB264" i="1"/>
  <c r="S264" i="1"/>
  <c r="AB285" i="1"/>
  <c r="S285" i="1"/>
  <c r="AB288" i="1"/>
  <c r="S288" i="1"/>
  <c r="S298" i="1"/>
  <c r="S381" i="1"/>
  <c r="AB19" i="1"/>
  <c r="S19" i="1"/>
  <c r="AB33" i="1"/>
  <c r="S33" i="1"/>
  <c r="S36" i="1"/>
  <c r="S45" i="1"/>
  <c r="S60" i="1"/>
  <c r="AB72" i="1"/>
  <c r="S72" i="1"/>
  <c r="AB75" i="1"/>
  <c r="S75" i="1"/>
  <c r="AB91" i="1"/>
  <c r="S91" i="1"/>
  <c r="AB120" i="1"/>
  <c r="S120" i="1"/>
  <c r="AB159" i="1"/>
  <c r="S159" i="1"/>
  <c r="AB177" i="1"/>
  <c r="S177" i="1"/>
  <c r="AB205" i="1"/>
  <c r="S205" i="1"/>
  <c r="AB219" i="1"/>
  <c r="S219" i="1"/>
  <c r="S230" i="1"/>
  <c r="AB257" i="1"/>
  <c r="S257" i="1"/>
  <c r="S269" i="1"/>
  <c r="AB275" i="1"/>
  <c r="S275" i="1"/>
  <c r="S292" i="1"/>
  <c r="AB315" i="1"/>
  <c r="S315" i="1"/>
  <c r="S337" i="1"/>
  <c r="S343" i="1"/>
  <c r="AB18" i="1"/>
  <c r="S18" i="1"/>
  <c r="AB50" i="1"/>
  <c r="S50" i="1"/>
  <c r="S69" i="1"/>
  <c r="AB71" i="1"/>
  <c r="S71" i="1"/>
  <c r="AB73" i="1"/>
  <c r="S73" i="1"/>
  <c r="S11" i="1"/>
  <c r="AB11" i="1"/>
  <c r="S13" i="1"/>
  <c r="AB17" i="1"/>
  <c r="S17" i="1"/>
  <c r="AB22" i="1"/>
  <c r="S22" i="1"/>
  <c r="AB74" i="1"/>
  <c r="S74" i="1"/>
  <c r="AB83" i="1"/>
  <c r="S83" i="1"/>
  <c r="AB107" i="1"/>
  <c r="S107" i="1"/>
  <c r="AB115" i="1"/>
  <c r="S115" i="1"/>
  <c r="AB119" i="1"/>
  <c r="S119" i="1"/>
  <c r="AB126" i="1"/>
  <c r="S126" i="1"/>
  <c r="S138" i="1"/>
  <c r="AB148" i="1"/>
  <c r="S148" i="1"/>
  <c r="S161" i="1"/>
  <c r="S165" i="1"/>
  <c r="S170" i="1"/>
  <c r="V193" i="1"/>
  <c r="Z193" i="1" s="1"/>
  <c r="S193" i="1"/>
  <c r="AB195" i="1"/>
  <c r="S195" i="1"/>
  <c r="S208" i="1"/>
  <c r="S212" i="1"/>
  <c r="S214" i="1"/>
  <c r="AB225" i="1"/>
  <c r="S225" i="1"/>
  <c r="AB229" i="1"/>
  <c r="S229" i="1"/>
  <c r="S241" i="1"/>
  <c r="S247" i="1"/>
  <c r="AB280" i="1"/>
  <c r="S280" i="1"/>
  <c r="AB300" i="1"/>
  <c r="S300" i="1"/>
  <c r="S308" i="1"/>
  <c r="AB319" i="1"/>
  <c r="S319" i="1"/>
  <c r="S323" i="1"/>
  <c r="S327" i="1"/>
  <c r="AB331" i="1"/>
  <c r="S331" i="1"/>
  <c r="AB363" i="1"/>
  <c r="S363" i="1"/>
  <c r="S368" i="1"/>
  <c r="S370" i="1"/>
  <c r="AB382" i="1"/>
  <c r="S382" i="1"/>
  <c r="S384" i="1"/>
  <c r="S21" i="1"/>
  <c r="S28" i="1"/>
  <c r="AB32" i="1"/>
  <c r="S32" i="1"/>
  <c r="AB63" i="1"/>
  <c r="S63" i="1"/>
  <c r="S67" i="1"/>
  <c r="AB96" i="1"/>
  <c r="S96" i="1"/>
  <c r="S100" i="1"/>
  <c r="AB105" i="1"/>
  <c r="S105" i="1"/>
  <c r="S121" i="1"/>
  <c r="S124" i="1"/>
  <c r="S151" i="1"/>
  <c r="S173" i="1"/>
  <c r="AB192" i="1"/>
  <c r="S192" i="1"/>
  <c r="AB197" i="1"/>
  <c r="S197" i="1"/>
  <c r="S204" i="1"/>
  <c r="AB217" i="1"/>
  <c r="S217" i="1"/>
  <c r="AB223" i="1"/>
  <c r="S223" i="1"/>
  <c r="S231" i="1"/>
  <c r="S235" i="1"/>
  <c r="S283" i="1"/>
  <c r="S297" i="1"/>
  <c r="AB320" i="1"/>
  <c r="S320" i="1"/>
  <c r="S326" i="1"/>
  <c r="S333" i="1"/>
  <c r="AB335" i="1"/>
  <c r="S335" i="1"/>
  <c r="AB339" i="1"/>
  <c r="S339" i="1"/>
  <c r="S340" i="1"/>
  <c r="S346" i="1"/>
  <c r="S355" i="1"/>
  <c r="S357" i="1"/>
  <c r="S379" i="1"/>
  <c r="S336" i="1"/>
  <c r="AE336" i="1" s="1"/>
  <c r="S42" i="1"/>
  <c r="AB42" i="1"/>
  <c r="AB53" i="1"/>
  <c r="S53" i="1"/>
  <c r="AB180" i="1"/>
  <c r="S180" i="1"/>
  <c r="AB183" i="1"/>
  <c r="S183" i="1"/>
  <c r="AB322" i="1"/>
  <c r="S322" i="1"/>
  <c r="S54" i="1"/>
  <c r="AB54" i="1"/>
  <c r="AB58" i="1"/>
  <c r="S58" i="1"/>
  <c r="AB244" i="1"/>
  <c r="S244" i="1"/>
  <c r="S245" i="1"/>
  <c r="AB245" i="1"/>
  <c r="AB278" i="1"/>
  <c r="S278" i="1"/>
  <c r="S361" i="1"/>
  <c r="AB361" i="1"/>
  <c r="AB364" i="1"/>
  <c r="S364" i="1"/>
  <c r="AB41" i="1"/>
  <c r="S41" i="1"/>
  <c r="S98" i="1"/>
  <c r="AB98" i="1"/>
  <c r="S181" i="1"/>
  <c r="AB181" i="1"/>
  <c r="AE152" i="1"/>
  <c r="S16" i="1"/>
  <c r="AB16" i="1"/>
  <c r="AB254" i="1"/>
  <c r="S254" i="1"/>
  <c r="AB43" i="1"/>
  <c r="S43" i="1"/>
  <c r="S52" i="1"/>
  <c r="AB52" i="1"/>
  <c r="AB102" i="1"/>
  <c r="S102" i="1"/>
  <c r="S125" i="1"/>
  <c r="AB125" i="1"/>
  <c r="AB164" i="1"/>
  <c r="S164" i="1"/>
  <c r="S176" i="1"/>
  <c r="AB176" i="1"/>
  <c r="S239" i="1"/>
  <c r="AB239" i="1"/>
  <c r="S277" i="1"/>
  <c r="AB277" i="1"/>
  <c r="S321" i="1"/>
  <c r="AB321" i="1"/>
  <c r="V131" i="1"/>
  <c r="S358" i="1"/>
  <c r="K10" i="1"/>
  <c r="AE127" i="1"/>
  <c r="S311" i="1"/>
  <c r="AE305" i="1"/>
  <c r="AE378" i="1"/>
  <c r="V11" i="1"/>
  <c r="Z11" i="1" s="1"/>
  <c r="S201" i="1"/>
  <c r="S228" i="1"/>
  <c r="AE299" i="1"/>
  <c r="V264" i="1"/>
  <c r="Z264" i="1" s="1"/>
  <c r="AE330" i="1"/>
  <c r="AE380" i="1"/>
  <c r="S103" i="1"/>
  <c r="AB161" i="1"/>
  <c r="AB179" i="1"/>
  <c r="AE179" i="1" s="1"/>
  <c r="AB231" i="1"/>
  <c r="L260" i="1"/>
  <c r="P260" i="1" s="1"/>
  <c r="AA260" i="1" s="1"/>
  <c r="Q19" i="1"/>
  <c r="AB31" i="1"/>
  <c r="AE31" i="1" s="1"/>
  <c r="Q91" i="1"/>
  <c r="AB149" i="1"/>
  <c r="L153" i="1"/>
  <c r="V192" i="1"/>
  <c r="Z192" i="1" s="1"/>
  <c r="V197" i="1"/>
  <c r="Z197" i="1" s="1"/>
  <c r="AB204" i="1"/>
  <c r="L206" i="1"/>
  <c r="P206" i="1" s="1"/>
  <c r="AA206" i="1" s="1"/>
  <c r="S207" i="1"/>
  <c r="AA207" i="1"/>
  <c r="L210" i="1"/>
  <c r="P210" i="1" s="1"/>
  <c r="AA210" i="1" s="1"/>
  <c r="AB215" i="1"/>
  <c r="S216" i="1"/>
  <c r="AA216" i="1"/>
  <c r="V225" i="1"/>
  <c r="Z225" i="1" s="1"/>
  <c r="L240" i="1"/>
  <c r="L252" i="1"/>
  <c r="P252" i="1" s="1"/>
  <c r="AA252" i="1" s="1"/>
  <c r="O281" i="1"/>
  <c r="O10" i="1" s="1"/>
  <c r="L284" i="1"/>
  <c r="L304" i="1"/>
  <c r="AB311" i="1"/>
  <c r="AB340" i="1"/>
  <c r="AB348" i="1"/>
  <c r="AE348" i="1" s="1"/>
  <c r="AB352" i="1"/>
  <c r="AE352" i="1" s="1"/>
  <c r="AB358" i="1"/>
  <c r="S366" i="1"/>
  <c r="AB368" i="1"/>
  <c r="AB327" i="1"/>
  <c r="AB346" i="1"/>
  <c r="AB350" i="1"/>
  <c r="AE350" i="1" s="1"/>
  <c r="AB366" i="1"/>
  <c r="AB370" i="1"/>
  <c r="AB381" i="1"/>
  <c r="V382" i="1"/>
  <c r="Z382" i="1" s="1"/>
  <c r="AB384" i="1"/>
  <c r="AB47" i="1"/>
  <c r="L61" i="1"/>
  <c r="P61" i="1" s="1"/>
  <c r="AA61" i="1" s="1"/>
  <c r="AB28" i="1"/>
  <c r="AA34" i="1"/>
  <c r="S34" i="1"/>
  <c r="AB39" i="1"/>
  <c r="L62" i="1"/>
  <c r="AB67" i="1"/>
  <c r="AB69" i="1"/>
  <c r="V72" i="1"/>
  <c r="Z72" i="1" s="1"/>
  <c r="AB99" i="1"/>
  <c r="V19" i="1"/>
  <c r="Z19" i="1" s="1"/>
  <c r="AE25" i="1"/>
  <c r="AE27" i="1"/>
  <c r="AB48" i="1"/>
  <c r="AE48" i="1" s="1"/>
  <c r="AE51" i="1"/>
  <c r="L64" i="1"/>
  <c r="P64" i="1" s="1"/>
  <c r="AA64" i="1" s="1"/>
  <c r="Q72" i="1"/>
  <c r="V74" i="1"/>
  <c r="Z74" i="1" s="1"/>
  <c r="AB85" i="1"/>
  <c r="AE85" i="1" s="1"/>
  <c r="V91" i="1"/>
  <c r="Z91" i="1" s="1"/>
  <c r="L93" i="1"/>
  <c r="V96" i="1"/>
  <c r="Z96" i="1" s="1"/>
  <c r="S99" i="1"/>
  <c r="AB103" i="1"/>
  <c r="L117" i="1"/>
  <c r="P117" i="1" s="1"/>
  <c r="AA117" i="1" s="1"/>
  <c r="AB124" i="1"/>
  <c r="L139" i="1"/>
  <c r="AE154" i="1"/>
  <c r="AE186" i="1"/>
  <c r="AE29" i="1"/>
  <c r="Q98" i="1"/>
  <c r="AB13" i="1"/>
  <c r="V17" i="1"/>
  <c r="Z17" i="1" s="1"/>
  <c r="V18" i="1"/>
  <c r="Z18" i="1" s="1"/>
  <c r="AB20" i="1"/>
  <c r="AB21" i="1"/>
  <c r="V22" i="1"/>
  <c r="Z22" i="1" s="1"/>
  <c r="V32" i="1"/>
  <c r="Z32" i="1" s="1"/>
  <c r="V33" i="1"/>
  <c r="Z33" i="1" s="1"/>
  <c r="V35" i="1"/>
  <c r="Z35" i="1" s="1"/>
  <c r="AA35" i="1"/>
  <c r="AB36" i="1"/>
  <c r="AB38" i="1"/>
  <c r="AA44" i="1"/>
  <c r="AE44" i="1" s="1"/>
  <c r="AB45" i="1"/>
  <c r="AA49" i="1"/>
  <c r="AE49" i="1" s="1"/>
  <c r="V56" i="1"/>
  <c r="Z56" i="1" s="1"/>
  <c r="AA56" i="1"/>
  <c r="AB59" i="1"/>
  <c r="AB60" i="1"/>
  <c r="V63" i="1"/>
  <c r="Z63" i="1" s="1"/>
  <c r="V73" i="1"/>
  <c r="Z73" i="1" s="1"/>
  <c r="V75" i="1"/>
  <c r="Z75" i="1" s="1"/>
  <c r="V83" i="1"/>
  <c r="Z83" i="1" s="1"/>
  <c r="AB88" i="1"/>
  <c r="AB89" i="1"/>
  <c r="AB95" i="1"/>
  <c r="AB100" i="1"/>
  <c r="AA101" i="1"/>
  <c r="V105" i="1"/>
  <c r="Z105" i="1" s="1"/>
  <c r="Q20" i="1"/>
  <c r="V20" i="1"/>
  <c r="Z20" i="1" s="1"/>
  <c r="V21" i="1"/>
  <c r="Z21" i="1" s="1"/>
  <c r="V34" i="1"/>
  <c r="Z34" i="1" s="1"/>
  <c r="S35" i="1"/>
  <c r="V36" i="1"/>
  <c r="Z36" i="1" s="1"/>
  <c r="Q38" i="1"/>
  <c r="V38" i="1"/>
  <c r="Z38" i="1" s="1"/>
  <c r="V39" i="1"/>
  <c r="Z39" i="1" s="1"/>
  <c r="Q41" i="1"/>
  <c r="Q43" i="1"/>
  <c r="Q45" i="1"/>
  <c r="V45" i="1"/>
  <c r="Z45" i="1" s="1"/>
  <c r="S56" i="1"/>
  <c r="S59" i="1"/>
  <c r="V60" i="1"/>
  <c r="Z60" i="1" s="1"/>
  <c r="V67" i="1"/>
  <c r="Z67" i="1" s="1"/>
  <c r="V69" i="1"/>
  <c r="Z69" i="1" s="1"/>
  <c r="S88" i="1"/>
  <c r="S89" i="1"/>
  <c r="Q95" i="1"/>
  <c r="V95" i="1"/>
  <c r="Z95" i="1" s="1"/>
  <c r="S101" i="1"/>
  <c r="V128" i="1"/>
  <c r="Z128" i="1" s="1"/>
  <c r="Q168" i="1"/>
  <c r="AE175" i="1"/>
  <c r="S112" i="1"/>
  <c r="AA112" i="1"/>
  <c r="L113" i="1"/>
  <c r="L114" i="1"/>
  <c r="V115" i="1"/>
  <c r="Z115" i="1" s="1"/>
  <c r="L116" i="1"/>
  <c r="P116" i="1" s="1"/>
  <c r="AA116" i="1" s="1"/>
  <c r="AB118" i="1"/>
  <c r="Q119" i="1"/>
  <c r="V119" i="1"/>
  <c r="Z119" i="1" s="1"/>
  <c r="V120" i="1"/>
  <c r="Z120" i="1" s="1"/>
  <c r="AB121" i="1"/>
  <c r="L123" i="1"/>
  <c r="P123" i="1" s="1"/>
  <c r="AA123" i="1" s="1"/>
  <c r="V124" i="1"/>
  <c r="Z124" i="1" s="1"/>
  <c r="L130" i="1"/>
  <c r="P130" i="1" s="1"/>
  <c r="AA130" i="1" s="1"/>
  <c r="L135" i="1"/>
  <c r="L137" i="1"/>
  <c r="AB138" i="1"/>
  <c r="L144" i="1"/>
  <c r="L147" i="1"/>
  <c r="V148" i="1"/>
  <c r="V149" i="1"/>
  <c r="Z149" i="1" s="1"/>
  <c r="AB151" i="1"/>
  <c r="L155" i="1"/>
  <c r="V159" i="1"/>
  <c r="Z159" i="1" s="1"/>
  <c r="AB160" i="1"/>
  <c r="V161" i="1"/>
  <c r="Z161" i="1" s="1"/>
  <c r="AB162" i="1"/>
  <c r="AB165" i="1"/>
  <c r="V169" i="1"/>
  <c r="Z169" i="1" s="1"/>
  <c r="AB170" i="1"/>
  <c r="AB173" i="1"/>
  <c r="AA178" i="1"/>
  <c r="AE178" i="1" s="1"/>
  <c r="AA187" i="1"/>
  <c r="S189" i="1"/>
  <c r="AA189" i="1"/>
  <c r="AB194" i="1"/>
  <c r="AB233" i="1"/>
  <c r="V118" i="1"/>
  <c r="Z118" i="1" s="1"/>
  <c r="V138" i="1"/>
  <c r="Z138" i="1" s="1"/>
  <c r="V151" i="1"/>
  <c r="Z151" i="1" s="1"/>
  <c r="V160" i="1"/>
  <c r="Z160" i="1" s="1"/>
  <c r="V162" i="1"/>
  <c r="Z162" i="1" s="1"/>
  <c r="V165" i="1"/>
  <c r="Z165" i="1" s="1"/>
  <c r="V170" i="1"/>
  <c r="Z170" i="1" s="1"/>
  <c r="V173" i="1"/>
  <c r="Z173" i="1" s="1"/>
  <c r="Q177" i="1"/>
  <c r="S187" i="1"/>
  <c r="AB193" i="1"/>
  <c r="L196" i="1"/>
  <c r="L198" i="1"/>
  <c r="P198" i="1" s="1"/>
  <c r="AA198" i="1" s="1"/>
  <c r="S200" i="1"/>
  <c r="AA200" i="1"/>
  <c r="V203" i="1"/>
  <c r="V204" i="1"/>
  <c r="Z204" i="1" s="1"/>
  <c r="V205" i="1"/>
  <c r="Z205" i="1" s="1"/>
  <c r="AB208" i="1"/>
  <c r="S211" i="1"/>
  <c r="AB211" i="1"/>
  <c r="AB212" i="1"/>
  <c r="AB214" i="1"/>
  <c r="L222" i="1"/>
  <c r="P222" i="1" s="1"/>
  <c r="AA222" i="1" s="1"/>
  <c r="L224" i="1"/>
  <c r="V229" i="1"/>
  <c r="Z229" i="1" s="1"/>
  <c r="AB230" i="1"/>
  <c r="V231" i="1"/>
  <c r="Z231" i="1" s="1"/>
  <c r="L232" i="1"/>
  <c r="L234" i="1"/>
  <c r="P234" i="1" s="1"/>
  <c r="AA234" i="1" s="1"/>
  <c r="AB235" i="1"/>
  <c r="AB241" i="1"/>
  <c r="L243" i="1"/>
  <c r="L246" i="1"/>
  <c r="P246" i="1" s="1"/>
  <c r="AA246" i="1" s="1"/>
  <c r="AB247" i="1"/>
  <c r="AB248" i="1"/>
  <c r="L249" i="1"/>
  <c r="P249" i="1" s="1"/>
  <c r="AA249" i="1" s="1"/>
  <c r="L250" i="1"/>
  <c r="L251" i="1"/>
  <c r="L255" i="1"/>
  <c r="P255" i="1" s="1"/>
  <c r="AA255" i="1" s="1"/>
  <c r="S256" i="1"/>
  <c r="AB256" i="1"/>
  <c r="V257" i="1"/>
  <c r="Z257" i="1" s="1"/>
  <c r="L258" i="1"/>
  <c r="AB259" i="1"/>
  <c r="AE259" i="1" s="1"/>
  <c r="AB261" i="1"/>
  <c r="AA262" i="1"/>
  <c r="S262" i="1"/>
  <c r="AB262" i="1"/>
  <c r="V208" i="1"/>
  <c r="Z208" i="1" s="1"/>
  <c r="V211" i="1"/>
  <c r="Z211" i="1" s="1"/>
  <c r="V212" i="1"/>
  <c r="Z212" i="1" s="1"/>
  <c r="V214" i="1"/>
  <c r="Z214" i="1" s="1"/>
  <c r="V230" i="1"/>
  <c r="Z230" i="1" s="1"/>
  <c r="V235" i="1"/>
  <c r="Z235" i="1" s="1"/>
  <c r="V241" i="1"/>
  <c r="Z241" i="1" s="1"/>
  <c r="V247" i="1"/>
  <c r="Z247" i="1" s="1"/>
  <c r="V248" i="1"/>
  <c r="Z248" i="1" s="1"/>
  <c r="V266" i="1"/>
  <c r="Z266" i="1" s="1"/>
  <c r="AB269" i="1"/>
  <c r="V275" i="1"/>
  <c r="Z275" i="1" s="1"/>
  <c r="V280" i="1"/>
  <c r="Z280" i="1" s="1"/>
  <c r="AB283" i="1"/>
  <c r="V285" i="1"/>
  <c r="Z285" i="1" s="1"/>
  <c r="V288" i="1"/>
  <c r="Z288" i="1" s="1"/>
  <c r="AB292" i="1"/>
  <c r="AB297" i="1"/>
  <c r="AB298" i="1"/>
  <c r="V269" i="1"/>
  <c r="Z269" i="1" s="1"/>
  <c r="V283" i="1"/>
  <c r="Z283" i="1" s="1"/>
  <c r="V292" i="1"/>
  <c r="Z292" i="1" s="1"/>
  <c r="Q300" i="1"/>
  <c r="AB308" i="1"/>
  <c r="V314" i="1"/>
  <c r="Z314" i="1" s="1"/>
  <c r="AA314" i="1"/>
  <c r="AB323" i="1"/>
  <c r="AB326" i="1"/>
  <c r="V331" i="1"/>
  <c r="Z331" i="1" s="1"/>
  <c r="AB333" i="1"/>
  <c r="V335" i="1"/>
  <c r="Z335" i="1" s="1"/>
  <c r="AB337" i="1"/>
  <c r="AB343" i="1"/>
  <c r="S314" i="1"/>
  <c r="V326" i="1"/>
  <c r="Z326" i="1" s="1"/>
  <c r="V327" i="1"/>
  <c r="Z327" i="1" s="1"/>
  <c r="V333" i="1"/>
  <c r="Z333" i="1" s="1"/>
  <c r="V340" i="1"/>
  <c r="Z340" i="1" s="1"/>
  <c r="V343" i="1"/>
  <c r="Z343" i="1" s="1"/>
  <c r="S345" i="1"/>
  <c r="AA345" i="1"/>
  <c r="V346" i="1"/>
  <c r="Z346" i="1" s="1"/>
  <c r="L349" i="1"/>
  <c r="P349" i="1" s="1"/>
  <c r="AA349" i="1" s="1"/>
  <c r="L351" i="1"/>
  <c r="L353" i="1"/>
  <c r="S354" i="1"/>
  <c r="AB354" i="1"/>
  <c r="AB355" i="1"/>
  <c r="S356" i="1"/>
  <c r="AB356" i="1"/>
  <c r="AB357" i="1"/>
  <c r="V358" i="1"/>
  <c r="Z358" i="1" s="1"/>
  <c r="L362" i="1"/>
  <c r="V366" i="1"/>
  <c r="Z366" i="1" s="1"/>
  <c r="L367" i="1"/>
  <c r="V354" i="1"/>
  <c r="Z354" i="1" s="1"/>
  <c r="V355" i="1"/>
  <c r="Z355" i="1" s="1"/>
  <c r="V356" i="1"/>
  <c r="Z356" i="1" s="1"/>
  <c r="V357" i="1"/>
  <c r="Z357" i="1" s="1"/>
  <c r="V368" i="1"/>
  <c r="Z368" i="1" s="1"/>
  <c r="V370" i="1"/>
  <c r="Z370" i="1" s="1"/>
  <c r="L377" i="1"/>
  <c r="AB379" i="1"/>
  <c r="V381" i="1"/>
  <c r="Z381" i="1" s="1"/>
  <c r="V384" i="1"/>
  <c r="Z384" i="1" s="1"/>
  <c r="V379" i="1"/>
  <c r="Z379" i="1" s="1"/>
  <c r="S310" i="1" l="1"/>
  <c r="AA310" i="1"/>
  <c r="V65" i="1"/>
  <c r="Z65" i="1" s="1"/>
  <c r="AA65" i="1"/>
  <c r="S317" i="1"/>
  <c r="AA317" i="1"/>
  <c r="V40" i="1"/>
  <c r="Z40" i="1" s="1"/>
  <c r="AA40" i="1"/>
  <c r="S290" i="1"/>
  <c r="AA290" i="1"/>
  <c r="S106" i="1"/>
  <c r="AA106" i="1"/>
  <c r="AB24" i="1"/>
  <c r="AA24" i="1"/>
  <c r="V90" i="1"/>
  <c r="Z90" i="1" s="1"/>
  <c r="AA90" i="1"/>
  <c r="S221" i="1"/>
  <c r="AA221" i="1"/>
  <c r="S140" i="1"/>
  <c r="AA140" i="1"/>
  <c r="S383" i="1"/>
  <c r="AA383" i="1"/>
  <c r="S68" i="1"/>
  <c r="AA68" i="1"/>
  <c r="V334" i="1"/>
  <c r="Z334" i="1" s="1"/>
  <c r="AA334" i="1"/>
  <c r="S301" i="1"/>
  <c r="AA301" i="1"/>
  <c r="S110" i="1"/>
  <c r="AA110" i="1"/>
  <c r="S55" i="1"/>
  <c r="AA55" i="1"/>
  <c r="S265" i="1"/>
  <c r="AA265" i="1"/>
  <c r="S57" i="1"/>
  <c r="AA57" i="1"/>
  <c r="S347" i="1"/>
  <c r="AA347" i="1"/>
  <c r="S294" i="1"/>
  <c r="AA294" i="1"/>
  <c r="S185" i="1"/>
  <c r="AA185" i="1"/>
  <c r="S92" i="1"/>
  <c r="AA92" i="1"/>
  <c r="AB302" i="1"/>
  <c r="AA302" i="1"/>
  <c r="S145" i="1"/>
  <c r="AA145" i="1"/>
  <c r="S344" i="1"/>
  <c r="AA344" i="1"/>
  <c r="S291" i="1"/>
  <c r="AA291" i="1"/>
  <c r="V220" i="1"/>
  <c r="Z220" i="1" s="1"/>
  <c r="AA220" i="1"/>
  <c r="S371" i="1"/>
  <c r="AA371" i="1"/>
  <c r="S316" i="1"/>
  <c r="AA316" i="1"/>
  <c r="S303" i="1"/>
  <c r="AA303" i="1"/>
  <c r="V233" i="1"/>
  <c r="Z233" i="1" s="1"/>
  <c r="AA233" i="1"/>
  <c r="AB128" i="1"/>
  <c r="AA128" i="1"/>
  <c r="AB282" i="1"/>
  <c r="V134" i="1"/>
  <c r="Z134" i="1" s="1"/>
  <c r="AB65" i="1"/>
  <c r="Q184" i="1"/>
  <c r="AD184" i="1" s="1"/>
  <c r="AA184" i="1"/>
  <c r="S191" i="1"/>
  <c r="AA191" i="1"/>
  <c r="S279" i="1"/>
  <c r="AA279" i="1"/>
  <c r="AB166" i="1"/>
  <c r="AA166" i="1"/>
  <c r="AB318" i="1"/>
  <c r="AA318" i="1"/>
  <c r="S97" i="1"/>
  <c r="AA97" i="1"/>
  <c r="S227" i="1"/>
  <c r="AA227" i="1"/>
  <c r="V77" i="1"/>
  <c r="Z77" i="1" s="1"/>
  <c r="AA77" i="1"/>
  <c r="S375" i="1"/>
  <c r="AA375" i="1"/>
  <c r="S289" i="1"/>
  <c r="AA289" i="1"/>
  <c r="S174" i="1"/>
  <c r="AA174" i="1"/>
  <c r="S70" i="1"/>
  <c r="AA70" i="1"/>
  <c r="S81" i="1"/>
  <c r="AA81" i="1"/>
  <c r="S341" i="1"/>
  <c r="AA341" i="1"/>
  <c r="S167" i="1"/>
  <c r="AA167" i="1"/>
  <c r="AB188" i="1"/>
  <c r="AA188" i="1"/>
  <c r="S286" i="1"/>
  <c r="AA286" i="1"/>
  <c r="Q180" i="1"/>
  <c r="AA182" i="1"/>
  <c r="V293" i="1"/>
  <c r="Z293" i="1" s="1"/>
  <c r="AA293" i="1"/>
  <c r="S104" i="1"/>
  <c r="AA104" i="1"/>
  <c r="S369" i="1"/>
  <c r="AA369" i="1"/>
  <c r="S296" i="1"/>
  <c r="AA296" i="1"/>
  <c r="S272" i="1"/>
  <c r="AA272" i="1"/>
  <c r="V190" i="1"/>
  <c r="Z190" i="1" s="1"/>
  <c r="AA190" i="1"/>
  <c r="S163" i="1"/>
  <c r="AA163" i="1"/>
  <c r="AB129" i="1"/>
  <c r="AA129" i="1"/>
  <c r="S87" i="1"/>
  <c r="AA87" i="1"/>
  <c r="S238" i="1"/>
  <c r="AA238" i="1"/>
  <c r="S79" i="1"/>
  <c r="AA79" i="1"/>
  <c r="S324" i="1"/>
  <c r="AA324" i="1"/>
  <c r="S263" i="1"/>
  <c r="AA263" i="1"/>
  <c r="V133" i="1"/>
  <c r="Z133" i="1" s="1"/>
  <c r="AA133" i="1"/>
  <c r="S86" i="1"/>
  <c r="AA86" i="1"/>
  <c r="AB287" i="1"/>
  <c r="AA287" i="1"/>
  <c r="V167" i="1"/>
  <c r="Z167" i="1" s="1"/>
  <c r="Q96" i="1"/>
  <c r="S242" i="1"/>
  <c r="S237" i="1"/>
  <c r="S65" i="1"/>
  <c r="S233" i="1"/>
  <c r="S133" i="1"/>
  <c r="S24" i="1"/>
  <c r="Q55" i="1"/>
  <c r="AB26" i="1"/>
  <c r="Q237" i="1"/>
  <c r="S282" i="1"/>
  <c r="AE282" i="1" s="1"/>
  <c r="AB238" i="1"/>
  <c r="AE238" i="1" s="1"/>
  <c r="AB133" i="1"/>
  <c r="S26" i="1"/>
  <c r="S309" i="1"/>
  <c r="V328" i="1"/>
  <c r="Z328" i="1" s="1"/>
  <c r="V272" i="1"/>
  <c r="Z272" i="1" s="1"/>
  <c r="AB167" i="1"/>
  <c r="AB140" i="1"/>
  <c r="S157" i="1"/>
  <c r="S129" i="1"/>
  <c r="Q334" i="1"/>
  <c r="Q167" i="1"/>
  <c r="AB328" i="1"/>
  <c r="V302" i="1"/>
  <c r="Z302" i="1" s="1"/>
  <c r="S328" i="1"/>
  <c r="S302" i="1"/>
  <c r="S80" i="1"/>
  <c r="V86" i="1"/>
  <c r="Z86" i="1" s="1"/>
  <c r="AB55" i="1"/>
  <c r="AB86" i="1"/>
  <c r="V23" i="1"/>
  <c r="Z23" i="1" s="1"/>
  <c r="AB184" i="1"/>
  <c r="S90" i="1"/>
  <c r="AB334" i="1"/>
  <c r="AB359" i="1"/>
  <c r="V157" i="1"/>
  <c r="Z157" i="1" s="1"/>
  <c r="AB220" i="1"/>
  <c r="V168" i="1"/>
  <c r="Z168" i="1" s="1"/>
  <c r="AB190" i="1"/>
  <c r="V129" i="1"/>
  <c r="Z129" i="1" s="1"/>
  <c r="V55" i="1"/>
  <c r="Z55" i="1" s="1"/>
  <c r="AB23" i="1"/>
  <c r="S253" i="1"/>
  <c r="S190" i="1"/>
  <c r="S166" i="1"/>
  <c r="S134" i="1"/>
  <c r="S23" i="1"/>
  <c r="S359" i="1"/>
  <c r="S220" i="1"/>
  <c r="S334" i="1"/>
  <c r="S168" i="1"/>
  <c r="S128" i="1"/>
  <c r="AD95" i="1"/>
  <c r="AE95" i="1" s="1"/>
  <c r="AF95" i="1" s="1"/>
  <c r="AD96" i="1"/>
  <c r="AE96" i="1" s="1"/>
  <c r="AD38" i="1"/>
  <c r="AD237" i="1"/>
  <c r="AB221" i="1"/>
  <c r="AB309" i="1"/>
  <c r="V24" i="1"/>
  <c r="Z24" i="1" s="1"/>
  <c r="AD300" i="1"/>
  <c r="AE300" i="1" s="1"/>
  <c r="AF300" i="1" s="1"/>
  <c r="AD177" i="1"/>
  <c r="AE177" i="1" s="1"/>
  <c r="AF177" i="1" s="1"/>
  <c r="AD20" i="1"/>
  <c r="AE20" i="1" s="1"/>
  <c r="AF20" i="1" s="1"/>
  <c r="AD19" i="1"/>
  <c r="AE19" i="1" s="1"/>
  <c r="AF19" i="1" s="1"/>
  <c r="AD41" i="1"/>
  <c r="AE41" i="1" s="1"/>
  <c r="AD98" i="1"/>
  <c r="AE98" i="1" s="1"/>
  <c r="AD167" i="1"/>
  <c r="AD43" i="1"/>
  <c r="AE43" i="1" s="1"/>
  <c r="AF43" i="1" s="1"/>
  <c r="AD55" i="1"/>
  <c r="AD72" i="1"/>
  <c r="AE72" i="1" s="1"/>
  <c r="AD119" i="1"/>
  <c r="AE119" i="1" s="1"/>
  <c r="AD45" i="1"/>
  <c r="AE45" i="1" s="1"/>
  <c r="AF45" i="1" s="1"/>
  <c r="AD91" i="1"/>
  <c r="AE91" i="1" s="1"/>
  <c r="AF91" i="1" s="1"/>
  <c r="AB272" i="1"/>
  <c r="V145" i="1"/>
  <c r="Z145" i="1" s="1"/>
  <c r="V79" i="1"/>
  <c r="Z79" i="1" s="1"/>
  <c r="AB40" i="1"/>
  <c r="Q145" i="1"/>
  <c r="V97" i="1"/>
  <c r="Z97" i="1" s="1"/>
  <c r="Q40" i="1"/>
  <c r="V80" i="1"/>
  <c r="Z80" i="1" s="1"/>
  <c r="AE103" i="1"/>
  <c r="AB237" i="1"/>
  <c r="V253" i="1"/>
  <c r="Z253" i="1" s="1"/>
  <c r="V221" i="1"/>
  <c r="Z221" i="1" s="1"/>
  <c r="V166" i="1"/>
  <c r="Z166" i="1" s="1"/>
  <c r="AB145" i="1"/>
  <c r="AB134" i="1"/>
  <c r="AB97" i="1"/>
  <c r="AB79" i="1"/>
  <c r="AB80" i="1"/>
  <c r="S182" i="1"/>
  <c r="S78" i="1"/>
  <c r="S318" i="1"/>
  <c r="AE318" i="1" s="1"/>
  <c r="S40" i="1"/>
  <c r="Q94" i="1"/>
  <c r="AD94" i="1" s="1"/>
  <c r="S94" i="1"/>
  <c r="D13" i="11"/>
  <c r="P377" i="1"/>
  <c r="P114" i="1"/>
  <c r="AA114" i="1" s="1"/>
  <c r="P147" i="1"/>
  <c r="S255" i="1"/>
  <c r="S210" i="1"/>
  <c r="P153" i="1"/>
  <c r="P251" i="1"/>
  <c r="P258" i="1"/>
  <c r="P137" i="1"/>
  <c r="P353" i="1"/>
  <c r="P224" i="1"/>
  <c r="P374" i="1"/>
  <c r="AA374" i="1" s="1"/>
  <c r="S249" i="1"/>
  <c r="V237" i="1"/>
  <c r="Z237" i="1" s="1"/>
  <c r="AB253" i="1"/>
  <c r="AE233" i="1"/>
  <c r="Q164" i="1"/>
  <c r="S130" i="1"/>
  <c r="AB168" i="1"/>
  <c r="Q21" i="1"/>
  <c r="AB157" i="1"/>
  <c r="S117" i="1"/>
  <c r="S61" i="1"/>
  <c r="S206" i="1"/>
  <c r="S260" i="1"/>
  <c r="P281" i="1"/>
  <c r="AA281" i="1" s="1"/>
  <c r="P367" i="1"/>
  <c r="P155" i="1"/>
  <c r="AA155" i="1" s="1"/>
  <c r="P93" i="1"/>
  <c r="P284" i="1"/>
  <c r="P240" i="1"/>
  <c r="P139" i="1"/>
  <c r="P362" i="1"/>
  <c r="S349" i="1"/>
  <c r="S246" i="1"/>
  <c r="S234" i="1"/>
  <c r="S222" i="1"/>
  <c r="S198" i="1"/>
  <c r="S123" i="1"/>
  <c r="S116" i="1"/>
  <c r="S64" i="1"/>
  <c r="S252" i="1"/>
  <c r="P232" i="1"/>
  <c r="P62" i="1"/>
  <c r="P304" i="1"/>
  <c r="P243" i="1"/>
  <c r="P351" i="1"/>
  <c r="P196" i="1"/>
  <c r="AA196" i="1" s="1"/>
  <c r="P144" i="1"/>
  <c r="P113" i="1"/>
  <c r="AA113" i="1" s="1"/>
  <c r="P250" i="1"/>
  <c r="P135" i="1"/>
  <c r="AA135" i="1" s="1"/>
  <c r="AE149" i="1"/>
  <c r="V265" i="1"/>
  <c r="Z265" i="1" s="1"/>
  <c r="V286" i="1"/>
  <c r="Z286" i="1" s="1"/>
  <c r="AB104" i="1"/>
  <c r="Q382" i="1"/>
  <c r="AB286" i="1"/>
  <c r="AB265" i="1"/>
  <c r="Q191" i="1"/>
  <c r="AE207" i="1"/>
  <c r="V191" i="1"/>
  <c r="Z191" i="1" s="1"/>
  <c r="AB132" i="1"/>
  <c r="AB191" i="1"/>
  <c r="V132" i="1"/>
  <c r="Z132" i="1" s="1"/>
  <c r="AE463" i="1"/>
  <c r="AF463" i="1"/>
  <c r="V287" i="1"/>
  <c r="Z287" i="1" s="1"/>
  <c r="AB90" i="1"/>
  <c r="AB227" i="1"/>
  <c r="Q90" i="1"/>
  <c r="AE203" i="1"/>
  <c r="Z203" i="1"/>
  <c r="Z131" i="1"/>
  <c r="AE131" i="1" s="1"/>
  <c r="AB228" i="1"/>
  <c r="AB136" i="1"/>
  <c r="S136" i="1"/>
  <c r="AB372" i="1"/>
  <c r="S372" i="1"/>
  <c r="S313" i="1"/>
  <c r="AB312" i="1"/>
  <c r="S312" i="1"/>
  <c r="S295" i="1"/>
  <c r="AB226" i="1"/>
  <c r="S226" i="1"/>
  <c r="S66" i="1"/>
  <c r="S202" i="1"/>
  <c r="AB77" i="1"/>
  <c r="S77" i="1"/>
  <c r="AB30" i="1"/>
  <c r="S30" i="1"/>
  <c r="AB15" i="1"/>
  <c r="S15" i="1"/>
  <c r="S76" i="1"/>
  <c r="AB365" i="1"/>
  <c r="S365" i="1"/>
  <c r="AB306" i="1"/>
  <c r="S306" i="1"/>
  <c r="V270" i="1"/>
  <c r="Z270" i="1" s="1"/>
  <c r="S270" i="1"/>
  <c r="S199" i="1"/>
  <c r="S184" i="1"/>
  <c r="AB122" i="1"/>
  <c r="S122" i="1"/>
  <c r="Q46" i="1"/>
  <c r="S46" i="1"/>
  <c r="V295" i="1"/>
  <c r="Z295" i="1" s="1"/>
  <c r="Q264" i="1"/>
  <c r="S268" i="1"/>
  <c r="Q326" i="1"/>
  <c r="S329" i="1"/>
  <c r="AB84" i="1"/>
  <c r="S84" i="1"/>
  <c r="V342" i="1"/>
  <c r="Z342" i="1" s="1"/>
  <c r="S342" i="1"/>
  <c r="S373" i="1"/>
  <c r="S307" i="1"/>
  <c r="S188" i="1"/>
  <c r="AB171" i="1"/>
  <c r="S171" i="1"/>
  <c r="AB37" i="1"/>
  <c r="S37" i="1"/>
  <c r="S82" i="1"/>
  <c r="V150" i="1"/>
  <c r="Z150" i="1" s="1"/>
  <c r="S150" i="1"/>
  <c r="S360" i="1"/>
  <c r="S293" i="1"/>
  <c r="AB213" i="1"/>
  <c r="S213" i="1"/>
  <c r="V172" i="1"/>
  <c r="Z172" i="1" s="1"/>
  <c r="S172" i="1"/>
  <c r="V12" i="1"/>
  <c r="Z12" i="1" s="1"/>
  <c r="S12" i="1"/>
  <c r="AE311" i="1"/>
  <c r="AB172" i="1"/>
  <c r="AB66" i="1"/>
  <c r="V78" i="1"/>
  <c r="Z78" i="1" s="1"/>
  <c r="V57" i="1"/>
  <c r="Z57" i="1" s="1"/>
  <c r="AE183" i="1"/>
  <c r="AE340" i="1"/>
  <c r="AE204" i="1"/>
  <c r="V171" i="1"/>
  <c r="Z171" i="1" s="1"/>
  <c r="AB78" i="1"/>
  <c r="Q57" i="1"/>
  <c r="AB57" i="1"/>
  <c r="AE216" i="1"/>
  <c r="AE50" i="1"/>
  <c r="AE52" i="1"/>
  <c r="AE322" i="1"/>
  <c r="Q263" i="1"/>
  <c r="V66" i="1"/>
  <c r="Z66" i="1" s="1"/>
  <c r="Q65" i="1"/>
  <c r="AB342" i="1"/>
  <c r="V307" i="1"/>
  <c r="Z307" i="1" s="1"/>
  <c r="V242" i="1"/>
  <c r="Z242" i="1" s="1"/>
  <c r="AE169" i="1"/>
  <c r="AE327" i="1"/>
  <c r="AB293" i="1"/>
  <c r="AE366" i="1"/>
  <c r="AE59" i="1"/>
  <c r="V184" i="1"/>
  <c r="Z184" i="1" s="1"/>
  <c r="AB76" i="1"/>
  <c r="V226" i="1"/>
  <c r="Z226" i="1" s="1"/>
  <c r="AE231" i="1"/>
  <c r="AB242" i="1"/>
  <c r="AB199" i="1"/>
  <c r="Q104" i="1"/>
  <c r="AB307" i="1"/>
  <c r="AD180" i="1"/>
  <c r="AE180" i="1" s="1"/>
  <c r="Q315" i="1"/>
  <c r="AE200" i="1"/>
  <c r="AB106" i="1"/>
  <c r="AE319" i="1"/>
  <c r="AE71" i="1"/>
  <c r="AE16" i="1"/>
  <c r="AE181" i="1"/>
  <c r="AE361" i="1"/>
  <c r="AE54" i="1"/>
  <c r="AE53" i="1"/>
  <c r="AE358" i="1"/>
  <c r="V313" i="1"/>
  <c r="Z313" i="1" s="1"/>
  <c r="V279" i="1"/>
  <c r="Z279" i="1" s="1"/>
  <c r="V37" i="1"/>
  <c r="Z37" i="1" s="1"/>
  <c r="AE321" i="1"/>
  <c r="AB383" i="1"/>
  <c r="V344" i="1"/>
  <c r="Z344" i="1" s="1"/>
  <c r="AB344" i="1"/>
  <c r="AB313" i="1"/>
  <c r="AB150" i="1"/>
  <c r="V76" i="1"/>
  <c r="Z76" i="1" s="1"/>
  <c r="AB270" i="1"/>
  <c r="AB182" i="1"/>
  <c r="V15" i="1"/>
  <c r="Z15" i="1" s="1"/>
  <c r="AB12" i="1"/>
  <c r="AE384" i="1"/>
  <c r="AB279" i="1"/>
  <c r="AB202" i="1"/>
  <c r="AE35" i="1"/>
  <c r="Q188" i="1"/>
  <c r="Q11" i="1"/>
  <c r="AE337" i="1"/>
  <c r="AE115" i="1"/>
  <c r="AE161" i="1"/>
  <c r="AE368" i="1"/>
  <c r="AE124" i="1"/>
  <c r="AE111" i="1"/>
  <c r="AE89" i="1"/>
  <c r="AE67" i="1"/>
  <c r="Q36" i="1"/>
  <c r="V182" i="1"/>
  <c r="Z182" i="1" s="1"/>
  <c r="AB82" i="1"/>
  <c r="AE381" i="1"/>
  <c r="AB263" i="1"/>
  <c r="AB295" i="1"/>
  <c r="Q159" i="1"/>
  <c r="V163" i="1"/>
  <c r="Z163" i="1" s="1"/>
  <c r="AE17" i="1"/>
  <c r="Q79" i="1"/>
  <c r="V30" i="1"/>
  <c r="Z30" i="1" s="1"/>
  <c r="AB373" i="1"/>
  <c r="V365" i="1"/>
  <c r="Z365" i="1" s="1"/>
  <c r="V202" i="1"/>
  <c r="Z202" i="1" s="1"/>
  <c r="AE257" i="1"/>
  <c r="V213" i="1"/>
  <c r="Z213" i="1" s="1"/>
  <c r="Q225" i="1"/>
  <c r="AB201" i="1"/>
  <c r="Q171" i="1"/>
  <c r="AB163" i="1"/>
  <c r="V136" i="1"/>
  <c r="Z136" i="1" s="1"/>
  <c r="AE101" i="1"/>
  <c r="Q77" i="1"/>
  <c r="Q74" i="1"/>
  <c r="AB46" i="1"/>
  <c r="Q28" i="1"/>
  <c r="AE102" i="1"/>
  <c r="AE320" i="1"/>
  <c r="AE370" i="1"/>
  <c r="AE346" i="1"/>
  <c r="AB360" i="1"/>
  <c r="AE262" i="1"/>
  <c r="V201" i="1"/>
  <c r="Z201" i="1" s="1"/>
  <c r="AE69" i="1"/>
  <c r="V312" i="1"/>
  <c r="Z312" i="1" s="1"/>
  <c r="Q269" i="1"/>
  <c r="V263" i="1"/>
  <c r="Z263" i="1" s="1"/>
  <c r="AE244" i="1"/>
  <c r="AE239" i="1"/>
  <c r="AE217" i="1"/>
  <c r="Q202" i="1"/>
  <c r="AE187" i="1"/>
  <c r="AE176" i="1"/>
  <c r="AE56" i="1"/>
  <c r="AE33" i="1"/>
  <c r="AE13" i="1"/>
  <c r="L10" i="1"/>
  <c r="AD278" i="1"/>
  <c r="V252" i="1"/>
  <c r="Z252" i="1" s="1"/>
  <c r="AB252" i="1"/>
  <c r="AB61" i="1"/>
  <c r="Q292" i="1"/>
  <c r="V284" i="1"/>
  <c r="Z284" i="1" s="1"/>
  <c r="AB210" i="1"/>
  <c r="Q209" i="1"/>
  <c r="V210" i="1"/>
  <c r="Z210" i="1" s="1"/>
  <c r="Q260" i="1"/>
  <c r="AB260" i="1"/>
  <c r="AB206" i="1"/>
  <c r="Q205" i="1"/>
  <c r="AE335" i="1"/>
  <c r="AE297" i="1"/>
  <c r="AE285" i="1"/>
  <c r="AE283" i="1"/>
  <c r="AE223" i="1"/>
  <c r="AE193" i="1"/>
  <c r="AE194" i="1"/>
  <c r="AE83" i="1"/>
  <c r="AE99" i="1"/>
  <c r="AE148" i="1"/>
  <c r="AB117" i="1"/>
  <c r="V117" i="1"/>
  <c r="Z117" i="1" s="1"/>
  <c r="AB64" i="1"/>
  <c r="V64" i="1"/>
  <c r="Z64" i="1" s="1"/>
  <c r="AE120" i="1"/>
  <c r="AE105" i="1"/>
  <c r="AE100" i="1"/>
  <c r="AE88" i="1"/>
  <c r="AE75" i="1"/>
  <c r="AE73" i="1"/>
  <c r="AE63" i="1"/>
  <c r="AE58" i="1"/>
  <c r="AE42" i="1"/>
  <c r="AE39" i="1"/>
  <c r="AE34" i="1"/>
  <c r="AE32" i="1"/>
  <c r="AE22" i="1"/>
  <c r="AE18" i="1"/>
  <c r="AE47" i="1"/>
  <c r="AB255" i="1"/>
  <c r="AG249" i="1"/>
  <c r="V249" i="1"/>
  <c r="Z249" i="1" s="1"/>
  <c r="AB249" i="1"/>
  <c r="AB198" i="1"/>
  <c r="Q197" i="1"/>
  <c r="Q147" i="1"/>
  <c r="AB143" i="1"/>
  <c r="AA143" i="1"/>
  <c r="S143" i="1"/>
  <c r="Q140" i="1"/>
  <c r="V130" i="1"/>
  <c r="Z130" i="1" s="1"/>
  <c r="AB130" i="1"/>
  <c r="Q128" i="1"/>
  <c r="V123" i="1"/>
  <c r="Z123" i="1" s="1"/>
  <c r="AB123" i="1"/>
  <c r="Q121" i="1"/>
  <c r="V349" i="1"/>
  <c r="Z349" i="1" s="1"/>
  <c r="AB349" i="1"/>
  <c r="V246" i="1"/>
  <c r="Z246" i="1" s="1"/>
  <c r="AB246" i="1"/>
  <c r="Q245" i="1"/>
  <c r="AB234" i="1"/>
  <c r="V234" i="1"/>
  <c r="Z234" i="1" s="1"/>
  <c r="Q234" i="1"/>
  <c r="V116" i="1"/>
  <c r="Z116" i="1" s="1"/>
  <c r="AB116" i="1"/>
  <c r="AB113" i="1"/>
  <c r="AB329" i="1"/>
  <c r="AB316" i="1"/>
  <c r="AB303" i="1"/>
  <c r="V303" i="1"/>
  <c r="Z303" i="1" s="1"/>
  <c r="AB296" i="1"/>
  <c r="V296" i="1"/>
  <c r="Z296" i="1" s="1"/>
  <c r="AB291" i="1"/>
  <c r="AB289" i="1"/>
  <c r="AE235" i="1"/>
  <c r="AB222" i="1"/>
  <c r="Q185" i="1"/>
  <c r="AB185" i="1"/>
  <c r="AE160" i="1"/>
  <c r="AE151" i="1"/>
  <c r="AE118" i="1"/>
  <c r="AD168" i="1"/>
  <c r="AG168" i="1"/>
  <c r="AB94" i="1"/>
  <c r="V94" i="1"/>
  <c r="Z94" i="1" s="1"/>
  <c r="AB87" i="1"/>
  <c r="AB70" i="1"/>
  <c r="V70" i="1"/>
  <c r="Z70" i="1" s="1"/>
  <c r="AE38" i="1"/>
  <c r="AF38" i="1" s="1"/>
  <c r="AB375" i="1"/>
  <c r="V371" i="1"/>
  <c r="Z371" i="1" s="1"/>
  <c r="Q371" i="1"/>
  <c r="AB371" i="1"/>
  <c r="AB338" i="1"/>
  <c r="S338" i="1"/>
  <c r="AE379" i="1"/>
  <c r="AB369" i="1"/>
  <c r="V369" i="1"/>
  <c r="Z369" i="1" s="1"/>
  <c r="AE364" i="1"/>
  <c r="AE363" i="1"/>
  <c r="AE357" i="1"/>
  <c r="AE356" i="1"/>
  <c r="AE355" i="1"/>
  <c r="AE354" i="1"/>
  <c r="V347" i="1"/>
  <c r="Z347" i="1" s="1"/>
  <c r="AB347" i="1"/>
  <c r="AE345" i="1"/>
  <c r="AE339" i="1"/>
  <c r="AE331" i="1"/>
  <c r="AE323" i="1"/>
  <c r="AE314" i="1"/>
  <c r="AB341" i="1"/>
  <c r="V341" i="1"/>
  <c r="Z341" i="1" s="1"/>
  <c r="AE333" i="1"/>
  <c r="AF333" i="1" s="1"/>
  <c r="AB324" i="1"/>
  <c r="AB317" i="1"/>
  <c r="AB310" i="1"/>
  <c r="Q309" i="1"/>
  <c r="AE308" i="1"/>
  <c r="AE298" i="1"/>
  <c r="AE288" i="1"/>
  <c r="AE280" i="1"/>
  <c r="AE275" i="1"/>
  <c r="AE266" i="1"/>
  <c r="AB301" i="1"/>
  <c r="AB294" i="1"/>
  <c r="V294" i="1"/>
  <c r="Z294" i="1" s="1"/>
  <c r="AB290" i="1"/>
  <c r="AB268" i="1"/>
  <c r="AE261" i="1"/>
  <c r="AE256" i="1"/>
  <c r="AE248" i="1"/>
  <c r="AE247" i="1"/>
  <c r="AE241" i="1"/>
  <c r="AE230" i="1"/>
  <c r="AE219" i="1"/>
  <c r="AE218" i="1"/>
  <c r="AE214" i="1"/>
  <c r="AE212" i="1"/>
  <c r="AE211" i="1"/>
  <c r="AE208" i="1"/>
  <c r="AE195" i="1"/>
  <c r="AE189" i="1"/>
  <c r="AB174" i="1"/>
  <c r="Q174" i="1"/>
  <c r="AE173" i="1"/>
  <c r="AE170" i="1"/>
  <c r="AE165" i="1"/>
  <c r="AE162" i="1"/>
  <c r="AE141" i="1"/>
  <c r="AE138" i="1"/>
  <c r="AE126" i="1"/>
  <c r="AE112" i="1"/>
  <c r="AE125" i="1"/>
  <c r="V110" i="1"/>
  <c r="Z110" i="1" s="1"/>
  <c r="AB110" i="1"/>
  <c r="AE107" i="1"/>
  <c r="AF107" i="1" s="1"/>
  <c r="V92" i="1"/>
  <c r="Z92" i="1" s="1"/>
  <c r="Q92" i="1"/>
  <c r="AB92" i="1"/>
  <c r="AB81" i="1"/>
  <c r="V81" i="1"/>
  <c r="Z81" i="1" s="1"/>
  <c r="V68" i="1"/>
  <c r="Z68" i="1" s="1"/>
  <c r="Q68" i="1"/>
  <c r="AB68" i="1"/>
  <c r="AE24" i="1"/>
  <c r="AE172" i="1" l="1"/>
  <c r="AE86" i="1"/>
  <c r="AE359" i="1"/>
  <c r="S62" i="1"/>
  <c r="AA62" i="1"/>
  <c r="S139" i="1"/>
  <c r="AA139" i="1"/>
  <c r="S144" i="1"/>
  <c r="AA144" i="1"/>
  <c r="S362" i="1"/>
  <c r="AA362" i="1"/>
  <c r="AB377" i="1"/>
  <c r="AA377" i="1"/>
  <c r="S250" i="1"/>
  <c r="AA250" i="1"/>
  <c r="AB351" i="1"/>
  <c r="AA351" i="1"/>
  <c r="Q229" i="1"/>
  <c r="AA232" i="1"/>
  <c r="S240" i="1"/>
  <c r="AA240" i="1"/>
  <c r="S367" i="1"/>
  <c r="AA367" i="1"/>
  <c r="S224" i="1"/>
  <c r="AA224" i="1"/>
  <c r="Q251" i="1"/>
  <c r="AA251" i="1"/>
  <c r="S147" i="1"/>
  <c r="AA147" i="1"/>
  <c r="AE242" i="1"/>
  <c r="AE157" i="1"/>
  <c r="AE328" i="1"/>
  <c r="AE26" i="1"/>
  <c r="AB258" i="1"/>
  <c r="AA258" i="1"/>
  <c r="S304" i="1"/>
  <c r="AA304" i="1"/>
  <c r="Q93" i="1"/>
  <c r="AD93" i="1" s="1"/>
  <c r="AA93" i="1"/>
  <c r="V137" i="1"/>
  <c r="Z137" i="1" s="1"/>
  <c r="AA137" i="1"/>
  <c r="S243" i="1"/>
  <c r="AA243" i="1"/>
  <c r="Q283" i="1"/>
  <c r="AA284" i="1"/>
  <c r="Q353" i="1"/>
  <c r="AA353" i="1"/>
  <c r="V153" i="1"/>
  <c r="Z153" i="1" s="1"/>
  <c r="AA153" i="1"/>
  <c r="Q372" i="1"/>
  <c r="AE167" i="1"/>
  <c r="AF167" i="1" s="1"/>
  <c r="V367" i="1"/>
  <c r="Z367" i="1" s="1"/>
  <c r="AE302" i="1"/>
  <c r="AE133" i="1"/>
  <c r="AB240" i="1"/>
  <c r="AE240" i="1" s="1"/>
  <c r="AE190" i="1"/>
  <c r="Q239" i="1"/>
  <c r="AB367" i="1"/>
  <c r="AE80" i="1"/>
  <c r="V351" i="1"/>
  <c r="Z351" i="1" s="1"/>
  <c r="AB196" i="1"/>
  <c r="AB304" i="1"/>
  <c r="AE272" i="1"/>
  <c r="AE97" i="1"/>
  <c r="AF96" i="1" s="1"/>
  <c r="AE166" i="1"/>
  <c r="V114" i="1"/>
  <c r="Z114" i="1" s="1"/>
  <c r="V147" i="1"/>
  <c r="Z147" i="1" s="1"/>
  <c r="AE334" i="1"/>
  <c r="AE23" i="1"/>
  <c r="AE129" i="1"/>
  <c r="AE55" i="1"/>
  <c r="AF55" i="1" s="1"/>
  <c r="AE221" i="1"/>
  <c r="Q301" i="1"/>
  <c r="AB144" i="1"/>
  <c r="AB353" i="1"/>
  <c r="AB251" i="1"/>
  <c r="Q60" i="1"/>
  <c r="AE265" i="1"/>
  <c r="S153" i="1"/>
  <c r="AE134" i="1"/>
  <c r="AF134" i="1" s="1"/>
  <c r="S196" i="1"/>
  <c r="Q194" i="1"/>
  <c r="S353" i="1"/>
  <c r="V353" i="1"/>
  <c r="Z353" i="1" s="1"/>
  <c r="AB135" i="1"/>
  <c r="AE220" i="1"/>
  <c r="V135" i="1"/>
  <c r="Z135" i="1" s="1"/>
  <c r="V377" i="1"/>
  <c r="Z377" i="1" s="1"/>
  <c r="AD90" i="1"/>
  <c r="AE90" i="1" s="1"/>
  <c r="AF90" i="1" s="1"/>
  <c r="AD191" i="1"/>
  <c r="AE191" i="1" s="1"/>
  <c r="AF191" i="1" s="1"/>
  <c r="AD229" i="1"/>
  <c r="AE229" i="1" s="1"/>
  <c r="AD145" i="1"/>
  <c r="AE145" i="1" s="1"/>
  <c r="AF145" i="1" s="1"/>
  <c r="AD371" i="1"/>
  <c r="AE371" i="1" s="1"/>
  <c r="AF371" i="1" s="1"/>
  <c r="AD121" i="1"/>
  <c r="AE121" i="1" s="1"/>
  <c r="AD60" i="1"/>
  <c r="AE60" i="1" s="1"/>
  <c r="AD202" i="1"/>
  <c r="AE202" i="1" s="1"/>
  <c r="AF202" i="1" s="1"/>
  <c r="AD171" i="1"/>
  <c r="AE171" i="1" s="1"/>
  <c r="AF171" i="1" s="1"/>
  <c r="AD159" i="1"/>
  <c r="AE159" i="1" s="1"/>
  <c r="AD188" i="1"/>
  <c r="AE188" i="1" s="1"/>
  <c r="AD264" i="1"/>
  <c r="AE264" i="1" s="1"/>
  <c r="AD46" i="1"/>
  <c r="AE46" i="1" s="1"/>
  <c r="AF46" i="1" s="1"/>
  <c r="AG382" i="1"/>
  <c r="AD382" i="1"/>
  <c r="AE382" i="1" s="1"/>
  <c r="AD284" i="1"/>
  <c r="AD301" i="1"/>
  <c r="AE301" i="1" s="1"/>
  <c r="AD309" i="1"/>
  <c r="AE309" i="1" s="1"/>
  <c r="AD28" i="1"/>
  <c r="AE28" i="1" s="1"/>
  <c r="AD36" i="1"/>
  <c r="AE36" i="1" s="1"/>
  <c r="AD315" i="1"/>
  <c r="AE315" i="1" s="1"/>
  <c r="AD65" i="1"/>
  <c r="AE65" i="1" s="1"/>
  <c r="AD263" i="1"/>
  <c r="AE263" i="1" s="1"/>
  <c r="AF263" i="1" s="1"/>
  <c r="AD21" i="1"/>
  <c r="AE21" i="1" s="1"/>
  <c r="AD251" i="1"/>
  <c r="AD40" i="1"/>
  <c r="AE40" i="1" s="1"/>
  <c r="AF40" i="1" s="1"/>
  <c r="S137" i="1"/>
  <c r="AB137" i="1"/>
  <c r="AB232" i="1"/>
  <c r="V93" i="1"/>
  <c r="Z93" i="1" s="1"/>
  <c r="AE253" i="1"/>
  <c r="S232" i="1"/>
  <c r="AB250" i="1"/>
  <c r="Q377" i="1"/>
  <c r="AB62" i="1"/>
  <c r="AB153" i="1"/>
  <c r="AB139" i="1"/>
  <c r="S93" i="1"/>
  <c r="S377" i="1"/>
  <c r="AD92" i="1"/>
  <c r="AE92" i="1" s="1"/>
  <c r="AF92" i="1" s="1"/>
  <c r="AD185" i="1"/>
  <c r="AE185" i="1" s="1"/>
  <c r="AF185" i="1" s="1"/>
  <c r="AD234" i="1"/>
  <c r="AE234" i="1" s="1"/>
  <c r="AF234" i="1" s="1"/>
  <c r="AD197" i="1"/>
  <c r="AE197" i="1" s="1"/>
  <c r="AD205" i="1"/>
  <c r="AE205" i="1" s="1"/>
  <c r="AD269" i="1"/>
  <c r="AE269" i="1" s="1"/>
  <c r="AD74" i="1"/>
  <c r="AE74" i="1" s="1"/>
  <c r="AD79" i="1"/>
  <c r="AE79" i="1" s="1"/>
  <c r="AD57" i="1"/>
  <c r="AE57" i="1" s="1"/>
  <c r="AF57" i="1" s="1"/>
  <c r="AD128" i="1"/>
  <c r="AE128" i="1" s="1"/>
  <c r="AD260" i="1"/>
  <c r="AE260" i="1" s="1"/>
  <c r="AF260" i="1" s="1"/>
  <c r="AD68" i="1"/>
  <c r="AE68" i="1" s="1"/>
  <c r="AD174" i="1"/>
  <c r="AE174" i="1" s="1"/>
  <c r="AF174" i="1" s="1"/>
  <c r="AD372" i="1"/>
  <c r="AD245" i="1"/>
  <c r="AE245" i="1" s="1"/>
  <c r="AD140" i="1"/>
  <c r="AE140" i="1" s="1"/>
  <c r="AD147" i="1"/>
  <c r="AD209" i="1"/>
  <c r="AE209" i="1" s="1"/>
  <c r="AD292" i="1"/>
  <c r="AE292" i="1" s="1"/>
  <c r="AD77" i="1"/>
  <c r="AD225" i="1"/>
  <c r="AE225" i="1" s="1"/>
  <c r="AD104" i="1"/>
  <c r="AE104" i="1" s="1"/>
  <c r="AD326" i="1"/>
  <c r="AE326" i="1" s="1"/>
  <c r="AD164" i="1"/>
  <c r="AE164" i="1" s="1"/>
  <c r="Q250" i="1"/>
  <c r="V62" i="1"/>
  <c r="Z62" i="1" s="1"/>
  <c r="AB284" i="1"/>
  <c r="S135" i="1"/>
  <c r="Q153" i="1"/>
  <c r="AE237" i="1"/>
  <c r="AF237" i="1" s="1"/>
  <c r="S351" i="1"/>
  <c r="G13" i="11"/>
  <c r="D8" i="11"/>
  <c r="D22" i="11"/>
  <c r="G22" i="11" s="1"/>
  <c r="AB374" i="1"/>
  <c r="S113" i="1"/>
  <c r="AE113" i="1" s="1"/>
  <c r="Q110" i="1"/>
  <c r="V155" i="1"/>
  <c r="Z155" i="1" s="1"/>
  <c r="Q114" i="1"/>
  <c r="Q135" i="1"/>
  <c r="V139" i="1"/>
  <c r="Z139" i="1" s="1"/>
  <c r="S258" i="1"/>
  <c r="S114" i="1"/>
  <c r="S251" i="1"/>
  <c r="Q215" i="1"/>
  <c r="Q343" i="1"/>
  <c r="AE168" i="1"/>
  <c r="AF168" i="1" s="1"/>
  <c r="AB155" i="1"/>
  <c r="V224" i="1"/>
  <c r="Z224" i="1" s="1"/>
  <c r="AB243" i="1"/>
  <c r="AB362" i="1"/>
  <c r="AB114" i="1"/>
  <c r="AB147" i="1"/>
  <c r="V251" i="1"/>
  <c r="Z251" i="1" s="1"/>
  <c r="AB93" i="1"/>
  <c r="S284" i="1"/>
  <c r="S374" i="1"/>
  <c r="S155" i="1"/>
  <c r="AB224" i="1"/>
  <c r="Q362" i="1"/>
  <c r="Q254" i="1"/>
  <c r="AE227" i="1"/>
  <c r="AE286" i="1"/>
  <c r="AE132" i="1"/>
  <c r="AE287" i="1"/>
  <c r="AE122" i="1"/>
  <c r="AE307" i="1"/>
  <c r="AE228" i="1"/>
  <c r="AE199" i="1"/>
  <c r="AE184" i="1"/>
  <c r="AF184" i="1" s="1"/>
  <c r="AE66" i="1"/>
  <c r="P10" i="1"/>
  <c r="S281" i="1"/>
  <c r="AE312" i="1"/>
  <c r="AE78" i="1"/>
  <c r="AG288" i="1"/>
  <c r="AE206" i="1"/>
  <c r="AE76" i="1"/>
  <c r="AE201" i="1"/>
  <c r="AE15" i="1"/>
  <c r="AE293" i="1"/>
  <c r="AE136" i="1"/>
  <c r="AE82" i="1"/>
  <c r="AE313" i="1"/>
  <c r="AE150" i="1"/>
  <c r="AE383" i="1"/>
  <c r="AE106" i="1"/>
  <c r="AE373" i="1"/>
  <c r="AE252" i="1"/>
  <c r="AF72" i="1"/>
  <c r="AE213" i="1"/>
  <c r="AE37" i="1"/>
  <c r="AE342" i="1"/>
  <c r="AE344" i="1"/>
  <c r="AE372" i="1"/>
  <c r="AE61" i="1"/>
  <c r="AE295" i="1"/>
  <c r="AE226" i="1"/>
  <c r="AE279" i="1"/>
  <c r="AE182" i="1"/>
  <c r="AF180" i="1" s="1"/>
  <c r="AE306" i="1"/>
  <c r="AE163" i="1"/>
  <c r="AE365" i="1"/>
  <c r="AG172" i="1"/>
  <c r="AF119" i="1"/>
  <c r="AE270" i="1"/>
  <c r="AE77" i="1"/>
  <c r="AE360" i="1"/>
  <c r="AE290" i="1"/>
  <c r="AE324" i="1"/>
  <c r="AE123" i="1"/>
  <c r="AE210" i="1"/>
  <c r="AE12" i="1"/>
  <c r="AF98" i="1"/>
  <c r="AE30" i="1"/>
  <c r="AE347" i="1"/>
  <c r="AF41" i="1"/>
  <c r="AE255" i="1"/>
  <c r="AE117" i="1"/>
  <c r="AE278" i="1"/>
  <c r="AE316" i="1"/>
  <c r="AE329" i="1"/>
  <c r="AE84" i="1"/>
  <c r="AE64" i="1"/>
  <c r="AE338" i="1"/>
  <c r="AE291" i="1"/>
  <c r="V281" i="1"/>
  <c r="Z281" i="1" s="1"/>
  <c r="Q277" i="1"/>
  <c r="AB281" i="1"/>
  <c r="AE81" i="1"/>
  <c r="AE94" i="1"/>
  <c r="AF94" i="1" s="1"/>
  <c r="AE296" i="1"/>
  <c r="AE303" i="1"/>
  <c r="AD362" i="1"/>
  <c r="AE130" i="1"/>
  <c r="AE143" i="1"/>
  <c r="AE198" i="1"/>
  <c r="AE249" i="1"/>
  <c r="AE258" i="1"/>
  <c r="AE268" i="1"/>
  <c r="AE294" i="1"/>
  <c r="AE310" i="1"/>
  <c r="AE317" i="1"/>
  <c r="AE341" i="1"/>
  <c r="AE369" i="1"/>
  <c r="AE375" i="1"/>
  <c r="AE70" i="1"/>
  <c r="AE87" i="1"/>
  <c r="AF87" i="1" s="1"/>
  <c r="AE222" i="1"/>
  <c r="AE289" i="1"/>
  <c r="AE116" i="1"/>
  <c r="AE246" i="1"/>
  <c r="AE349" i="1"/>
  <c r="AG355" i="1"/>
  <c r="AD353" i="1"/>
  <c r="AF188" i="1" l="1"/>
  <c r="AE367" i="1"/>
  <c r="AE351" i="1"/>
  <c r="AE144" i="1"/>
  <c r="AF140" i="1" s="1"/>
  <c r="AF164" i="1"/>
  <c r="AE62" i="1"/>
  <c r="AE304" i="1"/>
  <c r="AF301" i="1" s="1"/>
  <c r="AF21" i="1"/>
  <c r="AG22" i="1" s="1"/>
  <c r="AF334" i="1"/>
  <c r="AE232" i="1"/>
  <c r="AF229" i="1" s="1"/>
  <c r="AE196" i="1"/>
  <c r="AF194" i="1" s="1"/>
  <c r="AE93" i="1"/>
  <c r="AF93" i="1" s="1"/>
  <c r="AE147" i="1"/>
  <c r="AF147" i="1" s="1"/>
  <c r="AF205" i="1"/>
  <c r="AF36" i="1"/>
  <c r="AE139" i="1"/>
  <c r="AE353" i="1"/>
  <c r="AG353" i="1" s="1"/>
  <c r="AF209" i="1"/>
  <c r="AE137" i="1"/>
  <c r="AD343" i="1"/>
  <c r="AE343" i="1" s="1"/>
  <c r="AF343" i="1" s="1"/>
  <c r="AD135" i="1"/>
  <c r="AE135" i="1" s="1"/>
  <c r="AD250" i="1"/>
  <c r="AE250" i="1" s="1"/>
  <c r="AF250" i="1" s="1"/>
  <c r="AD254" i="1"/>
  <c r="AE254" i="1" s="1"/>
  <c r="AF254" i="1" s="1"/>
  <c r="AD153" i="1"/>
  <c r="AE153" i="1" s="1"/>
  <c r="AD377" i="1"/>
  <c r="AE377" i="1" s="1"/>
  <c r="AF377" i="1" s="1"/>
  <c r="AD192" i="1"/>
  <c r="AE192" i="1" s="1"/>
  <c r="AF192" i="1" s="1"/>
  <c r="AF264" i="1"/>
  <c r="AF28" i="1"/>
  <c r="AG365" i="1"/>
  <c r="AF65" i="1"/>
  <c r="AE155" i="1"/>
  <c r="AF128" i="1"/>
  <c r="AA10" i="1"/>
  <c r="AF326" i="1"/>
  <c r="AF269" i="1"/>
  <c r="AF74" i="1"/>
  <c r="AE243" i="1"/>
  <c r="AF239" i="1" s="1"/>
  <c r="AE284" i="1"/>
  <c r="AF283" i="1" s="1"/>
  <c r="AE251" i="1"/>
  <c r="AF251" i="1" s="1"/>
  <c r="AE224" i="1"/>
  <c r="AD215" i="1"/>
  <c r="AE215" i="1" s="1"/>
  <c r="AD114" i="1"/>
  <c r="AE114" i="1" s="1"/>
  <c r="AF114" i="1" s="1"/>
  <c r="AD110" i="1"/>
  <c r="AE110" i="1" s="1"/>
  <c r="AF110" i="1" s="1"/>
  <c r="AF159" i="1"/>
  <c r="AB10" i="1"/>
  <c r="Z10" i="1"/>
  <c r="S10" i="1"/>
  <c r="AE374" i="1"/>
  <c r="AE362" i="1"/>
  <c r="AF362" i="1" s="1"/>
  <c r="Q10" i="1"/>
  <c r="AF382" i="1"/>
  <c r="AF77" i="1"/>
  <c r="AF104" i="1"/>
  <c r="AF121" i="1"/>
  <c r="AF225" i="1"/>
  <c r="AF197" i="1"/>
  <c r="AF309" i="1"/>
  <c r="AF372" i="1"/>
  <c r="AF79" i="1"/>
  <c r="AF292" i="1"/>
  <c r="AF60" i="1"/>
  <c r="AF315" i="1"/>
  <c r="AF245" i="1"/>
  <c r="AG279" i="1"/>
  <c r="AE281" i="1"/>
  <c r="AF68" i="1"/>
  <c r="AD11" i="1"/>
  <c r="AF153" i="1" l="1"/>
  <c r="AF353" i="1"/>
  <c r="AF215" i="1"/>
  <c r="AF135" i="1"/>
  <c r="AE11" i="1"/>
  <c r="D24" i="11" l="1"/>
  <c r="G24" i="11" s="1"/>
  <c r="AD277" i="1"/>
  <c r="AD10" i="1" s="1"/>
  <c r="AF11" i="1"/>
  <c r="G23" i="11" l="1"/>
  <c r="G15" i="11" s="1"/>
  <c r="AE277" i="1"/>
  <c r="AE10" i="1" s="1"/>
  <c r="G7" i="11" l="1"/>
  <c r="G6" i="11" s="1"/>
  <c r="AF277" i="1"/>
  <c r="AF10" i="1" s="1"/>
</calcChain>
</file>

<file path=xl/sharedStrings.xml><?xml version="1.0" encoding="utf-8"?>
<sst xmlns="http://schemas.openxmlformats.org/spreadsheetml/2006/main" count="5816" uniqueCount="609">
  <si>
    <t>Để thực hiện dự án: Khu số 1, Khu đô thị số 11,12 thuộc Phân khu số 2, thành phố Bắc Giang</t>
  </si>
  <si>
    <t>Địa điểm: Thôn An Phong, xã Tân Tiến, thành phố Bắc Giang</t>
  </si>
  <si>
    <t>STT</t>
  </si>
  <si>
    <t>Đại diện hộ gia đình, cá nhân sử dụng đất (vợ/ chồng)</t>
  </si>
  <si>
    <t>Theo Sổ địa chính</t>
  </si>
  <si>
    <t>Bản đồ GPMB</t>
  </si>
  <si>
    <t>DT đất trong chỉ giới thu hồi (m2)</t>
  </si>
  <si>
    <t>DT ngoài chỉ giới</t>
  </si>
  <si>
    <t>Tổng diện tích thu hồi của hộ theo thửa (m2)</t>
  </si>
  <si>
    <t>Tổng diện tích thu hồi của hộ (m2)</t>
  </si>
  <si>
    <t>Bồi thường
về đất theo thửa:đ</t>
  </si>
  <si>
    <t>Bồi thường chi phí đầu tư vào đất còn lại (đ)</t>
  </si>
  <si>
    <t>Bồi thường, hỗ trợ tài sản trên đất</t>
  </si>
  <si>
    <t>Hỗ trợ khác về đất (đ)</t>
  </si>
  <si>
    <t>Kinh phí bồi thường, hỗ trợ gia đình theo thửa (đ)</t>
  </si>
  <si>
    <t>Tổng kinh phí bồi thường, hỗ trợ theo hộ gia đình (đ)</t>
  </si>
  <si>
    <t>Ghi chú</t>
  </si>
  <si>
    <t>Số thửa</t>
  </si>
  <si>
    <t>Số tờ</t>
  </si>
  <si>
    <t>Diện tích (m2)</t>
  </si>
  <si>
    <t>Số 
thửa</t>
  </si>
  <si>
    <t>Số tờ bản đồ</t>
  </si>
  <si>
    <t>Loại 
đất bản đồ</t>
  </si>
  <si>
    <t>Xứ đồng</t>
  </si>
  <si>
    <t xml:space="preserve">Đất NN được giao trong sổ địa chính
</t>
  </si>
  <si>
    <t xml:space="preserve"> Đất NN trồng cây hàng năm SD ổn định trước 01/7/2004 </t>
  </si>
  <si>
    <t xml:space="preserve"> Đất NN trồng cây lâu năm SD ổn định trước 01/7/2004 </t>
  </si>
  <si>
    <t>Đất công ích do UBND xã Tân Tiến quản lý</t>
  </si>
  <si>
    <t xml:space="preserve">Đất NN trồng cây hàng năm SD ổn định trước 01/7/2004 </t>
  </si>
  <si>
    <t>Đơn giá</t>
  </si>
  <si>
    <t>Thành tiền</t>
  </si>
  <si>
    <t>Loại tài sản</t>
  </si>
  <si>
    <t>Số lượng</t>
  </si>
  <si>
    <t>ĐVT</t>
  </si>
  <si>
    <t>Đơn giá 
(đ)</t>
  </si>
  <si>
    <t>Tỷ lệ
(%)</t>
  </si>
  <si>
    <t>Thành tiền 
(đ)</t>
  </si>
  <si>
    <t>HT ổn định đời sống đ)</t>
  </si>
  <si>
    <t xml:space="preserve">Số đx </t>
  </si>
  <si>
    <t xml:space="preserve"> Hỗ trợ đào tạo nghề 3,5 triệu/1LĐ</t>
  </si>
  <si>
    <t>26=22*24*25</t>
  </si>
  <si>
    <t>32=19+20+26+27+28+30</t>
  </si>
  <si>
    <t>33=32</t>
  </si>
  <si>
    <t>Tổng cộng</t>
  </si>
  <si>
    <t>Trần Ngọc Oanh (Be)</t>
  </si>
  <si>
    <t>LUC</t>
  </si>
  <si>
    <t>Non nghe</t>
  </si>
  <si>
    <t>Cây trồng hàng năm (lúa)</t>
  </si>
  <si>
    <t>đ/m2</t>
  </si>
  <si>
    <t>LUK</t>
  </si>
  <si>
    <t>Đồng Dung</t>
  </si>
  <si>
    <t>Cây keo, đkg 10-13cm</t>
  </si>
  <si>
    <t>đ/cây</t>
  </si>
  <si>
    <t>Vượt quá mật độ quy định</t>
  </si>
  <si>
    <t>Non dâu</t>
  </si>
  <si>
    <t>BHK</t>
  </si>
  <si>
    <t>Non Đốt</t>
  </si>
  <si>
    <t>Non Mẩn</t>
  </si>
  <si>
    <t>Hoa cúc</t>
  </si>
  <si>
    <t>Trần Văn Cường (Lê Thị Uyên)</t>
  </si>
  <si>
    <t>Non Nghe</t>
  </si>
  <si>
    <t>Trần Văn Cường (Uyên) ông Trần Văn  Xuân (Tươi) Ủy quyền</t>
  </si>
  <si>
    <t>Đinh Thị Hòa (Chính)</t>
  </si>
  <si>
    <t>non nghe</t>
  </si>
  <si>
    <t>Cây trồng hàng năm</t>
  </si>
  <si>
    <t>Đào tán, cây cao 50cm</t>
  </si>
  <si>
    <t>Bưởi dkg từ 2cm-5cm</t>
  </si>
  <si>
    <t>Trần Xuân Thành (Dương Thị Hiền)</t>
  </si>
  <si>
    <t>Keo dkg 15cm</t>
  </si>
  <si>
    <t>Cây bưởi đkg 4cm</t>
  </si>
  <si>
    <t>Tài sản trên đất hình thành sau thông báo thu hồi đất</t>
  </si>
  <si>
    <t xml:space="preserve">Cây trồng hàng năm </t>
  </si>
  <si>
    <t>Bưởi dkg 1cm</t>
  </si>
  <si>
    <t>Đỗ Văn Nam (Nguyễn Thị Lợi)</t>
  </si>
  <si>
    <t>Chũng mẩn</t>
  </si>
  <si>
    <t>Đỗ Tiến Lực (Vũ Thị Hương)</t>
  </si>
  <si>
    <t xml:space="preserve"> Trần Thị Luyến (đại diện hộ gia đình bà Nguyễn Thị Xa)</t>
  </si>
  <si>
    <t xml:space="preserve">Tăng Văn Ích (Thân Thị Huyền) </t>
  </si>
  <si>
    <t>Keo đkg 5-10cm</t>
  </si>
  <si>
    <t>Tăng Văn La</t>
  </si>
  <si>
    <t>Cây Sưa dkg 10- 13cm</t>
  </si>
  <si>
    <t>Keo Đkgốc 15cm</t>
  </si>
  <si>
    <t>Dương Thị Hiền ( chồng là Liêm ) đại diện hàng thừa kế thứ 1 của hộ ông Đỗ Văn Khuê</t>
  </si>
  <si>
    <t>Đã TH cầu đồng sơn 207,1m</t>
  </si>
  <si>
    <t>Tăng Thị Ninh ( Trần Thanh Đường)</t>
  </si>
  <si>
    <t>Đào thế 5 thân cao 1,0m</t>
  </si>
  <si>
    <t>Cây trồng hàng năm (tía tô)</t>
  </si>
  <si>
    <t>Bưởi dkg 5cm</t>
  </si>
  <si>
    <t>Bưởi dkg &lt;5</t>
  </si>
  <si>
    <t>6 cây bưởi vượt quá mật độ quy định</t>
  </si>
  <si>
    <t xml:space="preserve">Sưa dkg 6-8cm </t>
  </si>
  <si>
    <t>Đỗ Văn Hiệp vợ là  Nguyễn Thị Hường</t>
  </si>
  <si>
    <t>Trần Văn Uẩn (Trần Thị Giang)</t>
  </si>
  <si>
    <t>Keo đkg 13-17cm</t>
  </si>
  <si>
    <t>Nguyễn Thị Quang (Trần Văn Chính)</t>
  </si>
  <si>
    <t>247</t>
  </si>
  <si>
    <t>21</t>
  </si>
  <si>
    <t xml:space="preserve">Đào thế, cây cao 2m </t>
  </si>
  <si>
    <t>136</t>
  </si>
  <si>
    <t>28</t>
  </si>
  <si>
    <t>Keo dkg 5cm</t>
  </si>
  <si>
    <t>156</t>
  </si>
  <si>
    <t>Hình thành sau Thông báo thu hồi đất</t>
  </si>
  <si>
    <t>394</t>
  </si>
  <si>
    <t>Đỗ Văn Vững (Đòa Thị Hương)</t>
  </si>
  <si>
    <t>Đỗ Trọng Kình (Trần Thị Lư)</t>
  </si>
  <si>
    <t>192</t>
  </si>
  <si>
    <t xml:space="preserve">Cây trồng hàng năm  </t>
  </si>
  <si>
    <t>375</t>
  </si>
  <si>
    <t>Đồng dung</t>
  </si>
  <si>
    <t>395</t>
  </si>
  <si>
    <t>Non mẩn</t>
  </si>
  <si>
    <t>Mộc hương dkg &lt;1cm</t>
  </si>
  <si>
    <t>HÌnh thành sau TB thu hồi đất</t>
  </si>
  <si>
    <t>Tăng Thị Dùng (Tăng Văn Bùi)</t>
  </si>
  <si>
    <t>53,3</t>
  </si>
  <si>
    <t>Tăng Thị Dùng (Tăng Văn Bùi) Nhận ủy quyền của ông Tăng Văn Tân</t>
  </si>
  <si>
    <t>81,3</t>
  </si>
  <si>
    <t>TH cầu đồng sơn</t>
  </si>
  <si>
    <t>Lê Thị Yến ( Tăng Văn Đủ)</t>
  </si>
  <si>
    <t>228</t>
  </si>
  <si>
    <t>370</t>
  </si>
  <si>
    <t>379</t>
  </si>
  <si>
    <t>Cây trồng hàng năm (rau màu)</t>
  </si>
  <si>
    <t>Trần Văn Dự (Đỗ Thị Nương)</t>
  </si>
  <si>
    <t>129</t>
  </si>
  <si>
    <t>373</t>
  </si>
  <si>
    <t>Đào Văn Hoà (Nguyễn Thị Tuấn)</t>
  </si>
  <si>
    <t>231</t>
  </si>
  <si>
    <t>502,3</t>
  </si>
  <si>
    <t>Keo dkg 5-10cm</t>
  </si>
  <si>
    <t>314,5</t>
  </si>
  <si>
    <t>234,5</t>
  </si>
  <si>
    <t>Sưa dkg&lt; 3</t>
  </si>
  <si>
    <t>70,4</t>
  </si>
  <si>
    <t>Trần Văn Ngà (Ngô Thị Nguyệt)</t>
  </si>
  <si>
    <t>70</t>
  </si>
  <si>
    <t>Sườn Non Nghe</t>
  </si>
  <si>
    <t xml:space="preserve">Sưa Đkgốc 6-10cm </t>
  </si>
  <si>
    <t>Keo Đkgốc 13-20cm</t>
  </si>
  <si>
    <t>Nguyễn Thị Viện( Tăng Ngọc Chanh)</t>
  </si>
  <si>
    <t>97</t>
  </si>
  <si>
    <t>Lê Thị Toàn ( Chồng là Tăng Văn Thanh)</t>
  </si>
  <si>
    <t>Tăng Văn Phòng (Nguyễn Thị Tiến)</t>
  </si>
  <si>
    <t>14</t>
  </si>
  <si>
    <t>Lê Thị Cần (Tăng Văn Lợi)</t>
  </si>
  <si>
    <t>26</t>
  </si>
  <si>
    <t>Lê Thị Cần (Tăng Văn Lợi) Nhận Ủy quyền của bà Đào Thị Tuân (Thắng)</t>
  </si>
  <si>
    <t>27</t>
  </si>
  <si>
    <t>Đào Thị Nga (Trần Lê Yên)</t>
  </si>
  <si>
    <t>174</t>
  </si>
  <si>
    <t>Đỗ Văn Thước (Đỗ Thị Nụ)</t>
  </si>
  <si>
    <t>554</t>
  </si>
  <si>
    <t>12</t>
  </si>
  <si>
    <t>đã thu hồi cầu đồng sơn</t>
  </si>
  <si>
    <t>Tăng Văn Ngôn ( Lê Thị Mai)</t>
  </si>
  <si>
    <t>80</t>
  </si>
  <si>
    <t>Keo dkg 5cm-10cm</t>
  </si>
  <si>
    <t>7</t>
  </si>
  <si>
    <t>29</t>
  </si>
  <si>
    <t>288</t>
  </si>
  <si>
    <t>Trần Thị Cát</t>
  </si>
  <si>
    <t>20</t>
  </si>
  <si>
    <t>Sườn đồng dung</t>
  </si>
  <si>
    <t>Keo dkg 10-13cm</t>
  </si>
  <si>
    <t>90</t>
  </si>
  <si>
    <t>213</t>
  </si>
  <si>
    <t>Trần Thị Cát Nhận Ủy quyền của Trần Thị Lý (Ngân)</t>
  </si>
  <si>
    <t>Keo đkg 10-13cm</t>
  </si>
  <si>
    <t>Cây vượt quá mật độ</t>
  </si>
  <si>
    <t>keo dkg 8cm</t>
  </si>
  <si>
    <t>Trần Thị Thịnh (Trần Văn Bàng)</t>
  </si>
  <si>
    <t>302</t>
  </si>
  <si>
    <t>Đào tán cao 50cm</t>
  </si>
  <si>
    <t>Tài sản hình thành sau TB thu hồi đất</t>
  </si>
  <si>
    <t>Keo chiều cao &gt;3, D1, 3&lt;5cm</t>
  </si>
  <si>
    <t>Trần Thanh Hoàn (Nguyễn Thị Lừng)</t>
  </si>
  <si>
    <t>293</t>
  </si>
  <si>
    <t>Đào thế, cây cao &gt;2m</t>
  </si>
  <si>
    <t>4</t>
  </si>
  <si>
    <t>357</t>
  </si>
  <si>
    <t>269</t>
  </si>
  <si>
    <t>Cây trồng hàng năm (ngô)</t>
  </si>
  <si>
    <t>532</t>
  </si>
  <si>
    <t>Cao Xuân Khâm (Đỗ Thị Nhung)</t>
  </si>
  <si>
    <t>225</t>
  </si>
  <si>
    <t>Đào Văn Thuân  (Tăng Thị Hồng)</t>
  </si>
  <si>
    <t>73</t>
  </si>
  <si>
    <t>Keo dkg 16cm</t>
  </si>
  <si>
    <t>525</t>
  </si>
  <si>
    <t>Cây trồng hàng năm (rau thơm)</t>
  </si>
  <si>
    <t>Tài sản  hình thành sau TB thu hồi đất</t>
  </si>
  <si>
    <t>238</t>
  </si>
  <si>
    <t>cơm nắm</t>
  </si>
  <si>
    <t>246</t>
  </si>
  <si>
    <t>non dâu</t>
  </si>
  <si>
    <t>Trần Văn Minh (Đỗ Thị Nít)</t>
  </si>
  <si>
    <t>448</t>
  </si>
  <si>
    <t>Sườn non mẩn</t>
  </si>
  <si>
    <t>Đào tán cao 150m</t>
  </si>
  <si>
    <t>392</t>
  </si>
  <si>
    <t>227</t>
  </si>
  <si>
    <t>383</t>
  </si>
  <si>
    <t>151</t>
  </si>
  <si>
    <t>Cây trồng hàng năm (khoai sọ)</t>
  </si>
  <si>
    <t>Trần Văn Nghệ (Đào Thị Thuận)</t>
  </si>
  <si>
    <t>71</t>
  </si>
  <si>
    <t>Đỗ Thị Thanh (Trần Văn Sơn)</t>
  </si>
  <si>
    <t>13</t>
  </si>
  <si>
    <t>157</t>
  </si>
  <si>
    <t>158</t>
  </si>
  <si>
    <t>447</t>
  </si>
  <si>
    <t>454</t>
  </si>
  <si>
    <t>Nguyễn Văn Tàu (Trần Thị Ve)</t>
  </si>
  <si>
    <t>276</t>
  </si>
  <si>
    <t>859</t>
  </si>
  <si>
    <t>Sưa dkg &lt;5cm</t>
  </si>
  <si>
    <t>104</t>
  </si>
  <si>
    <t>Nguyễn Văn Tàu (Trần Thị Ve) nhận UQ của bà Tăng Thị Ninh</t>
  </si>
  <si>
    <t>130</t>
  </si>
  <si>
    <t>Mộc hương</t>
  </si>
  <si>
    <t>Đỗ Xuân Trường (Trần Thị Hồng</t>
  </si>
  <si>
    <t>5</t>
  </si>
  <si>
    <t>16 cây quất, 2 cây bưởi, 3 cây đào</t>
  </si>
  <si>
    <t>290</t>
  </si>
  <si>
    <t>Đào tán</t>
  </si>
  <si>
    <t>Đỗ Thị Hoạt (Đinh Văn Huy)</t>
  </si>
  <si>
    <t>Non đốt</t>
  </si>
  <si>
    <t>224</t>
  </si>
  <si>
    <t>300</t>
  </si>
  <si>
    <t>Đào Thị Toan (Tiện)</t>
  </si>
  <si>
    <t>Bạch dàn 10-15cm</t>
  </si>
  <si>
    <t>d/m2</t>
  </si>
  <si>
    <t>Đỗ Văn Thế (Thân Thị Lộc)</t>
  </si>
  <si>
    <t>Đào tán, cây cao 150cm</t>
  </si>
  <si>
    <t>Trần Văn Quang (Vợ là Đỗ Thị Hằng)</t>
  </si>
  <si>
    <t>355</t>
  </si>
  <si>
    <t>Hoa cúc, đào tán</t>
  </si>
  <si>
    <t>455</t>
  </si>
  <si>
    <t>Đào tán cao 150cm</t>
  </si>
  <si>
    <t>Trần Văn Quang (Vợ là Đỗ Thị Hằng) Ủy quyền cho Trần Văn Cường (Đông)</t>
  </si>
  <si>
    <t>sửa ts đào</t>
  </si>
  <si>
    <t>đồng dung</t>
  </si>
  <si>
    <t>Trần Thị Chu</t>
  </si>
  <si>
    <t>bỏ UQ bà Thơm</t>
  </si>
  <si>
    <t>214</t>
  </si>
  <si>
    <t>Bạch đàn dkg 5cm</t>
  </si>
  <si>
    <t>Tăng Văn Diện (Trần Thị Sự)</t>
  </si>
  <si>
    <t>Cây sưa Đkgốc 6-8cm, cao &gt; 3m</t>
  </si>
  <si>
    <t>có nhất trí</t>
  </si>
  <si>
    <t>Ổi Đkgốc 5cm</t>
  </si>
  <si>
    <t>Bưởi Đkgốc 5cm</t>
  </si>
  <si>
    <t>Ngô Thị Đạt</t>
  </si>
  <si>
    <t>Keo dkg 6-8cm</t>
  </si>
  <si>
    <t>24</t>
  </si>
  <si>
    <t>Keo dkg 13-20cm</t>
  </si>
  <si>
    <t>145</t>
  </si>
  <si>
    <t>Đào tán 50cm</t>
  </si>
  <si>
    <t>XN lại Tài sản đào</t>
  </si>
  <si>
    <t>236</t>
  </si>
  <si>
    <t>Cơm nắm</t>
  </si>
  <si>
    <t>Cây sưa dkg 6cm-10cm'</t>
  </si>
  <si>
    <t>44 Cây sưa vượt quá mật độ quy định</t>
  </si>
  <si>
    <t>Ngô Thị Đạt Nhận Ủy quyền bà Tăng Thị Ninh</t>
  </si>
  <si>
    <t>98</t>
  </si>
  <si>
    <t>Đỗ Văn Thái (Ngô Thị Lan)</t>
  </si>
  <si>
    <t>Bưởi đkg 5-7cm</t>
  </si>
  <si>
    <t>Tăng Văn Tình ( Đỗ Thị Thuý Nha)</t>
  </si>
  <si>
    <t>15</t>
  </si>
  <si>
    <t>Keo dkg từ 13-20cm</t>
  </si>
  <si>
    <t>Bưởi dkg 3-5cm</t>
  </si>
  <si>
    <t>sửa có bt bưởi</t>
  </si>
  <si>
    <t>365</t>
  </si>
  <si>
    <t>Mạ non mẩn</t>
  </si>
  <si>
    <t>hoa cúc</t>
  </si>
  <si>
    <t>Đỗ Thị Hường- Tăng Văn Thọ</t>
  </si>
  <si>
    <t>91,2</t>
  </si>
  <si>
    <t>Trần Văn Quang (Vợ là Đỗ Thị Hằng) Ủy quyền cho Đỗ Thị Cành (Chồng là Trần Văn Vinh)</t>
  </si>
  <si>
    <t>329,0</t>
  </si>
  <si>
    <t>Trần Văn Vinh (Đỗ Thị Cành)</t>
  </si>
  <si>
    <t>144,3</t>
  </si>
  <si>
    <t>351,0</t>
  </si>
  <si>
    <t>Tăng Thị Ngư</t>
  </si>
  <si>
    <t>Lộc vừng 2-3 năm , MDBQ 0,5 cây/m2</t>
  </si>
  <si>
    <t>Sưa dkg 6-10cm</t>
  </si>
  <si>
    <t>đ/ cây</t>
  </si>
  <si>
    <t xml:space="preserve">Nguyễn Văn Hùng (Trần Thị Hởi)- </t>
  </si>
  <si>
    <t>137</t>
  </si>
  <si>
    <t>Nguyễn Văn Hùng (Trần Thị Hởi)</t>
  </si>
  <si>
    <t>444</t>
  </si>
  <si>
    <t>Đã TH cầu đồng sơn</t>
  </si>
  <si>
    <t>Trần Thị Hà</t>
  </si>
  <si>
    <t>222</t>
  </si>
  <si>
    <t>372</t>
  </si>
  <si>
    <t>đã TH cầu đồng sơn</t>
  </si>
  <si>
    <t>Dương Thị Vương ( Tăng Văn Thủy)</t>
  </si>
  <si>
    <t>286</t>
  </si>
  <si>
    <t>Bạch đàn dkg 5-10cm</t>
  </si>
  <si>
    <t>28 cây sưa dkg 6-8cm, 64 cây keo vượt quá mật độ;CT</t>
  </si>
  <si>
    <t>282</t>
  </si>
  <si>
    <t>Tài sản  hình thành sau thông báo thu hồi đất</t>
  </si>
  <si>
    <t>219</t>
  </si>
  <si>
    <t>Tăng Văn Tân (Nguyễn Thị Ngọt)</t>
  </si>
  <si>
    <t>Hình thành sau TB thu hồi đất</t>
  </si>
  <si>
    <t>555</t>
  </si>
  <si>
    <t>Bưởi đkg 5cm</t>
  </si>
  <si>
    <t>369</t>
  </si>
  <si>
    <t>229</t>
  </si>
  <si>
    <t>155</t>
  </si>
  <si>
    <t>368</t>
  </si>
  <si>
    <t>Cây trồng hàng năm (Ngô)</t>
  </si>
  <si>
    <t>Nguyễn Thị Cúc</t>
  </si>
  <si>
    <t>100</t>
  </si>
  <si>
    <t>531</t>
  </si>
  <si>
    <t>234</t>
  </si>
  <si>
    <t xml:space="preserve">Keo dkg 15cm, </t>
  </si>
  <si>
    <t>Nguyễn Thị Thắng (Kĩnh)</t>
  </si>
  <si>
    <t>140</t>
  </si>
  <si>
    <t>198</t>
  </si>
  <si>
    <t>471</t>
  </si>
  <si>
    <t>Trần Văn Tuận (Đỗ Thị Sỹ)</t>
  </si>
  <si>
    <t>159</t>
  </si>
  <si>
    <t>94</t>
  </si>
  <si>
    <t>Tăng Văn Đát (Trần Thị Lý)-CT</t>
  </si>
  <si>
    <t>66</t>
  </si>
  <si>
    <t>Tăng Văn Đát (Trần Thị Lý)</t>
  </si>
  <si>
    <t>Tăng Văn Bắc (Cao Thị Thơm)</t>
  </si>
  <si>
    <t>208</t>
  </si>
  <si>
    <t>Keo dkg từ 5- 10cm</t>
  </si>
  <si>
    <t>12 cây keo vượt quá mật độ, loại đất</t>
  </si>
  <si>
    <t>106</t>
  </si>
  <si>
    <t>Xá nhận lại loại đất</t>
  </si>
  <si>
    <t>226</t>
  </si>
  <si>
    <t>284</t>
  </si>
  <si>
    <t>8 cây keo 15cm và 15 cây keo 8cm vượt mật độ</t>
  </si>
  <si>
    <t>Trần Văn Đạt (Nguyễn Thị Liên)</t>
  </si>
  <si>
    <t>388</t>
  </si>
  <si>
    <t>354</t>
  </si>
  <si>
    <t>306</t>
  </si>
  <si>
    <t>271</t>
  </si>
  <si>
    <t>Tăng Văn Thìn (Đỗ Thị Độ)</t>
  </si>
  <si>
    <t>128</t>
  </si>
  <si>
    <t>Bạch đàn đkg 5-10cm</t>
  </si>
  <si>
    <t>sửa ts BDD</t>
  </si>
  <si>
    <t>Trần Xuân Long  ( Tăng Thị Lệ)</t>
  </si>
  <si>
    <t>450</t>
  </si>
  <si>
    <t>243</t>
  </si>
  <si>
    <t>221</t>
  </si>
  <si>
    <t>Trần Đăng Chấp (Đỗ Thị Mười)</t>
  </si>
  <si>
    <t>211</t>
  </si>
  <si>
    <t>Cây Keo. Đkgốc 13-20cm</t>
  </si>
  <si>
    <t>76</t>
  </si>
  <si>
    <t>16</t>
  </si>
  <si>
    <t>105</t>
  </si>
  <si>
    <t>Tăng Văn Lập (Trần Thị Thanh Huyền)</t>
  </si>
  <si>
    <t>239</t>
  </si>
  <si>
    <t>Sưa cao &gt;3m</t>
  </si>
  <si>
    <t>299</t>
  </si>
  <si>
    <t>Đào tán 150cm</t>
  </si>
  <si>
    <t>Đỗ Thị Thoa</t>
  </si>
  <si>
    <t>385</t>
  </si>
  <si>
    <t>Đào Văn Thuận ( Đỗ Thị Kỷ)</t>
  </si>
  <si>
    <t>303</t>
  </si>
  <si>
    <t>356</t>
  </si>
  <si>
    <t>134</t>
  </si>
  <si>
    <t>Bưởi đkgg 5-7cm</t>
  </si>
  <si>
    <t>Nguyễn Thị Du (Phấn)</t>
  </si>
  <si>
    <t>Chung thửa nhà hội thị</t>
  </si>
  <si>
    <t>215</t>
  </si>
  <si>
    <t>cây</t>
  </si>
  <si>
    <t>364</t>
  </si>
  <si>
    <t xml:space="preserve">Đào thế 5 thân </t>
  </si>
  <si>
    <t>599</t>
  </si>
  <si>
    <t>Cây trồng hàng năm (mạ)</t>
  </si>
  <si>
    <t>Cây mộc hương</t>
  </si>
  <si>
    <t>Đào Thị Hằng (Tăng Văn Đông)</t>
  </si>
  <si>
    <t>Sửa lại đkg cây Sưa</t>
  </si>
  <si>
    <t>371</t>
  </si>
  <si>
    <t>374</t>
  </si>
  <si>
    <t>469</t>
  </si>
  <si>
    <t>124</t>
  </si>
  <si>
    <t>36 keo vượt quá mật độ quy định</t>
  </si>
  <si>
    <t>Nguyễn Thị Toản (Trọng)</t>
  </si>
  <si>
    <t>thêm thửa 218</t>
  </si>
  <si>
    <t>242</t>
  </si>
  <si>
    <t>74</t>
  </si>
  <si>
    <t>154</t>
  </si>
  <si>
    <t>217</t>
  </si>
  <si>
    <t>283</t>
  </si>
  <si>
    <t>Keo đkg &lt;5cm, cây cao 3m</t>
  </si>
  <si>
    <t>205</t>
  </si>
  <si>
    <t>83</t>
  </si>
  <si>
    <t>Trần Thị Lý (Tăng Văn Ngân)</t>
  </si>
  <si>
    <t>3</t>
  </si>
  <si>
    <t>Sườn Đồng Dung</t>
  </si>
  <si>
    <t xml:space="preserve">Cây lộc vừng 2-3 năm </t>
  </si>
  <si>
    <t>xác</t>
  </si>
  <si>
    <t>91</t>
  </si>
  <si>
    <t>244</t>
  </si>
  <si>
    <t>Non đâu</t>
  </si>
  <si>
    <t>527</t>
  </si>
  <si>
    <t>Đào thế &lt;150cm</t>
  </si>
  <si>
    <t>204</t>
  </si>
  <si>
    <t>6 cây cam, 10 cây xanh</t>
  </si>
  <si>
    <t>Đào Thị Nga (Trần Lê Yên) (Ủy quyền cho Trần Thị Lý (Ngân))</t>
  </si>
  <si>
    <t>Sưa 6-8cm</t>
  </si>
  <si>
    <t>Bạch đàn vượt quá mật độ</t>
  </si>
  <si>
    <t>Đỗ Văn Sơn (Đáp)</t>
  </si>
  <si>
    <t>non đốt</t>
  </si>
  <si>
    <t>Bạch đàn  dkg 13-20cm</t>
  </si>
  <si>
    <t>non mẩn</t>
  </si>
  <si>
    <t>Sưa đkg 5cm</t>
  </si>
  <si>
    <t>Ngô Hồng Chiến</t>
  </si>
  <si>
    <t>Sưa Đkgốc 6-10cm</t>
  </si>
  <si>
    <t>Sưa Đkgốc 6-8cm</t>
  </si>
  <si>
    <t>CT</t>
  </si>
  <si>
    <t>Sưa dkg &lt;6, cao 3m</t>
  </si>
  <si>
    <t>sườn non mẩn</t>
  </si>
  <si>
    <t>Hình thành sau thông báo thu hồi đất</t>
  </si>
  <si>
    <t>Trần Văn Trọng (Tỗn)</t>
  </si>
  <si>
    <t>Lê Thị Viền (Văn)</t>
  </si>
  <si>
    <t>Bạch đàn dkg 13-20cm</t>
  </si>
  <si>
    <t>Bạch đàn dkg 10-13</t>
  </si>
  <si>
    <t>xem sổ sơn phòng</t>
  </si>
  <si>
    <t>Trần Văn Long ( Đỗ Thị Nhàn) Nhận Ủy quyền của Nguyễn Thị Du (Phấn)</t>
  </si>
  <si>
    <t>Trần Văn Long ( Đỗ Thị Nhàn)</t>
  </si>
  <si>
    <t>Đỗ Thị Thính (Trần Văn Quyền)</t>
  </si>
  <si>
    <t>Bờ vó</t>
  </si>
  <si>
    <t>Cây</t>
  </si>
  <si>
    <t>Trần Văn Lâm (Liên)</t>
  </si>
  <si>
    <t>sửa ts là cây sưa</t>
  </si>
  <si>
    <t>Tăng Văn Thu ( Vợ là Trần Thị Yên)</t>
  </si>
  <si>
    <t>sửa dt</t>
  </si>
  <si>
    <t>Bạch đàn Đkgốc 5-10cm</t>
  </si>
  <si>
    <t>Dương Thị Phòng (Trần Ngọc Sơn)</t>
  </si>
  <si>
    <t>530</t>
  </si>
  <si>
    <t>Cây trồng hàng năm (cây ngô)</t>
  </si>
  <si>
    <t>Trần Thị Ớ (Đinh Văn Phúc)</t>
  </si>
  <si>
    <t>232</t>
  </si>
  <si>
    <t>135</t>
  </si>
  <si>
    <t>133</t>
  </si>
  <si>
    <t>Keo dkg từ 5-10cm</t>
  </si>
  <si>
    <t>Cây keo, đkg 13-20cm</t>
  </si>
  <si>
    <t>Trần Thị Nhu</t>
  </si>
  <si>
    <t>362</t>
  </si>
  <si>
    <t>TS hình thành sau TB thu hồi đất</t>
  </si>
  <si>
    <t>295</t>
  </si>
  <si>
    <t>Đỗ Thị Huệ ( Trần Quang Huấn)</t>
  </si>
  <si>
    <t>149</t>
  </si>
  <si>
    <t>209</t>
  </si>
  <si>
    <t>534</t>
  </si>
  <si>
    <t>Xác nhận lại tài sản</t>
  </si>
  <si>
    <t>Trần Văn Duật (Nguyễn Thị Thủy)</t>
  </si>
  <si>
    <t>- Y/cầu bồi thường rài sản mộc hương</t>
  </si>
  <si>
    <t>Mộc hương cao &gt;1m</t>
  </si>
  <si>
    <t>Cao Xuân Hưng (Dương Thị Hằng)</t>
  </si>
  <si>
    <t>Bạch đàn đkg 13-20cm</t>
  </si>
  <si>
    <t>Đỗ Văn Xuân (Phạm Thị Sản)</t>
  </si>
  <si>
    <t>_Y/C bồi thường tài sản là cây mộc hương</t>
  </si>
  <si>
    <t xml:space="preserve">Cây mộc hương </t>
  </si>
  <si>
    <t>Trần Văn Thắng ( Đỗ Thị Chiên)</t>
  </si>
  <si>
    <t>đồng Dung</t>
  </si>
  <si>
    <t>209,1</t>
  </si>
  <si>
    <t xml:space="preserve">cây trồng hàng năm </t>
  </si>
  <si>
    <t>358,9</t>
  </si>
  <si>
    <t>Trần Thị Thanh</t>
  </si>
  <si>
    <t>Trần Văn Phòng (Tăng Thị Thanh)</t>
  </si>
  <si>
    <t>216</t>
  </si>
  <si>
    <t>_Y/c BT tài sản là Đào</t>
  </si>
  <si>
    <t>296</t>
  </si>
  <si>
    <t>Tăng Văn Phẩm (Dương Thị Hiên)</t>
  </si>
  <si>
    <t>240</t>
  </si>
  <si>
    <t xml:space="preserve">Cây Keo. Đkgốc 13-20cm, </t>
  </si>
  <si>
    <t>Gđ vắng mặt ko ra</t>
  </si>
  <si>
    <t>Tài sản vượt quá mật độ quy định</t>
  </si>
  <si>
    <t>366</t>
  </si>
  <si>
    <t>DT giao 192 thiếu DT trong giấy,  xác nhâbjn sai</t>
  </si>
  <si>
    <t>Đỗ Văn Hải (Nguyễn Thị Hiển)</t>
  </si>
  <si>
    <t>103</t>
  </si>
  <si>
    <t>Đào thế cao &gt;150cm</t>
  </si>
  <si>
    <t>-Y/C Bồi thường tài sản là Đào</t>
  </si>
  <si>
    <t>458</t>
  </si>
  <si>
    <t>Đỗ Thị Chắt</t>
  </si>
  <si>
    <t>120</t>
  </si>
  <si>
    <t>473</t>
  </si>
  <si>
    <t>380</t>
  </si>
  <si>
    <t>390</t>
  </si>
  <si>
    <t>Trần Thị Vinh (Na)</t>
  </si>
  <si>
    <t>143</t>
  </si>
  <si>
    <t>Keo dkg  5cm-10</t>
  </si>
  <si>
    <t>Chung thửa vs nhà Mạnh Chinh, không đồng ý chia dôi dư, yêu cầu đo đạc thực tế</t>
  </si>
  <si>
    <t>203</t>
  </si>
  <si>
    <t>Keo dkg  10-13cm</t>
  </si>
  <si>
    <t>141</t>
  </si>
  <si>
    <t>274</t>
  </si>
  <si>
    <t>273</t>
  </si>
  <si>
    <t>Đỗ Văn Mạnh (Ngô Thị Chinh)</t>
  </si>
  <si>
    <t>thêm thửa103 nhà vinh na</t>
  </si>
  <si>
    <t>67</t>
  </si>
  <si>
    <t>_ Thiếu diện tích 100m</t>
  </si>
  <si>
    <t>93</t>
  </si>
  <si>
    <t>142</t>
  </si>
  <si>
    <t>144</t>
  </si>
  <si>
    <t>457</t>
  </si>
  <si>
    <t>Trần Quốc Hội (Thị)</t>
  </si>
  <si>
    <t>-Y/C Bồi thường tài sản là mộc hương</t>
  </si>
  <si>
    <t>CT, Mộc hương trồng sau TB TH đất</t>
  </si>
  <si>
    <t>Nguyễn Thị Yên (Hùng)</t>
  </si>
  <si>
    <t>Vắng mặt</t>
  </si>
  <si>
    <t>Sưa chiều cao &gt;3m</t>
  </si>
  <si>
    <t>Trần Minh Thăng (Đỗ Thị Lành)</t>
  </si>
  <si>
    <t>Không đồng ý diện tích 400,3 là đất công ích</t>
  </si>
  <si>
    <t>202+204</t>
  </si>
  <si>
    <t>Bưởi dkg 5-7cm</t>
  </si>
  <si>
    <t>Trần Văn Kích (Nguyễn Thị Đan)</t>
  </si>
  <si>
    <t>Về diện tích: 
- Thửa 84, TBĐ 28 không đồng ý vs diện tích bản đồ, y/c Bt 12 thước theo sổ chia ruộng (thiếu 32,2m)
Về tài sản: 
- Y/C BT tài sản là mộc hương cao &gt;1m</t>
  </si>
  <si>
    <t>Đào thế 5 thân cao 50cm - 150m</t>
  </si>
  <si>
    <t>Đào thế 5 thân cao 150cm-200cm</t>
  </si>
  <si>
    <t>Kèm theo Tờ trình số          /TTr-TTQĐ ngày        tháng 4/2024 của Trung tâm Phát triểm quỹ đất và CCN thành phố</t>
  </si>
  <si>
    <r>
      <t>Diện 
tích bản đồ (m</t>
    </r>
    <r>
      <rPr>
        <vertAlign val="superscript"/>
        <sz val="13"/>
        <color theme="1"/>
        <rFont val="Times New Roman"/>
        <family val="1"/>
      </rPr>
      <t>2</t>
    </r>
    <r>
      <rPr>
        <sz val="13"/>
        <color theme="1"/>
        <rFont val="Times New Roman"/>
        <family val="1"/>
      </rPr>
      <t>)</t>
    </r>
  </si>
  <si>
    <r>
      <t>HT chuyển đổi nghề và tìm kiếm việc làm (3 lần giá đất cùng loại) (đ/m</t>
    </r>
    <r>
      <rPr>
        <b/>
        <vertAlign val="superscript"/>
        <sz val="13"/>
        <color theme="1"/>
        <rFont val="Times New Roman"/>
        <family val="1"/>
      </rPr>
      <t>2</t>
    </r>
    <r>
      <rPr>
        <b/>
        <sz val="13"/>
        <color theme="1"/>
        <rFont val="Times New Roman"/>
        <family val="1"/>
      </rPr>
      <t>)</t>
    </r>
  </si>
  <si>
    <t>Đỗ Văn Sử (Ngô Thị Huệ)</t>
  </si>
  <si>
    <t>PHƯƠNG ÁN BỒI THƯỜNG, HỖ TRỢ GPMB (ĐỢT 2)</t>
  </si>
  <si>
    <t>UBND xã Tân Tiến</t>
  </si>
  <si>
    <t>Hỗ trợ đất công ích đưa về ngân sách xã</t>
  </si>
  <si>
    <t>KT. GIÁM ĐỐC</t>
  </si>
  <si>
    <t>PHÓ GIÁM ĐỐC</t>
  </si>
  <si>
    <t>Lương Văn Sòi</t>
  </si>
  <si>
    <t>BẢNG TỔNG HỢP TÀI SẢN</t>
  </si>
  <si>
    <t>Kèm theo Tờ trình số:        /TTr-TTQĐ ngày        /3/2024 của Trung tâm phát triển quỹ đất và CCN thành phố Bắc Giang</t>
  </si>
  <si>
    <t>Nội dung</t>
  </si>
  <si>
    <t>Đơn giá (đ)</t>
  </si>
  <si>
    <t>Tỷ lệ %</t>
  </si>
  <si>
    <t>Thành tiền (đ)</t>
  </si>
  <si>
    <t>7=4*5*6</t>
  </si>
  <si>
    <t>A</t>
  </si>
  <si>
    <t>I.</t>
  </si>
  <si>
    <t>Bồi thường, hỗ trợ về đất:</t>
  </si>
  <si>
    <r>
      <t>đ/m</t>
    </r>
    <r>
      <rPr>
        <vertAlign val="superscript"/>
        <sz val="14"/>
        <rFont val="Times New Roman"/>
        <family val="1"/>
      </rPr>
      <t>2</t>
    </r>
  </si>
  <si>
    <t>II.</t>
  </si>
  <si>
    <r>
      <t>đ/m</t>
    </r>
    <r>
      <rPr>
        <b/>
        <vertAlign val="superscript"/>
        <sz val="14"/>
        <rFont val="Times New Roman"/>
        <family val="1"/>
      </rPr>
      <t>2</t>
    </r>
  </si>
  <si>
    <t>III.</t>
  </si>
  <si>
    <r>
      <rPr>
        <b/>
        <sz val="14"/>
        <rFont val="Times New Roman"/>
        <family val="1"/>
      </rPr>
      <t>Kinh phí bồi thường tài sản trên đất:</t>
    </r>
    <r>
      <rPr>
        <i/>
        <sz val="14"/>
        <rFont val="Times New Roman"/>
        <family val="1"/>
      </rPr>
      <t xml:space="preserve"> Vận dụng Công văn: Số 3201/SNN-KHTC ngày 27/12/2023 của Sở nông nghiệp và Phát triển nông thôn về việc Công bố đơn giá tài sản trên đất là cây trồng, vật nuôi khi Nhà nước thu hồi đất 06 tháng đầu năm 2024 trên địa bàn tỉnh Bắc Giang; </t>
    </r>
  </si>
  <si>
    <t>IV.</t>
  </si>
  <si>
    <t>Hỗ trợ kinh phí bồi thường đất công ích về UBND xã</t>
  </si>
  <si>
    <t>đ/lđ</t>
  </si>
  <si>
    <t xml:space="preserve">Hỗ trợ cộng gộp diện tích tại các Quyết định thu hồi đất trước đó chưa được hỗ trợ </t>
  </si>
  <si>
    <t>V.</t>
  </si>
  <si>
    <t xml:space="preserve">Dự toán kinh phí hộ trợ bàn giao mặt bằng sớm (khuyến khích tiến độ bàn giao mặt bằng) </t>
  </si>
  <si>
    <t xml:space="preserve">Kinh phí hộ trợ bàn giao mặt bằng sớm (khuyến khích tiến độ bàn giao mặt bằng) </t>
  </si>
  <si>
    <t>BẢNG TỔNG HỢP KINH PHÍ BỒI THƯỜNG, HỖ TRỢ GPMB  (ĐỢT 2)</t>
  </si>
  <si>
    <t>Để thực hiện dự án: Khu số 1, Khu đô thị số 11, 12 thuộc Phân khu số 2, thành phố Bắc Giang</t>
  </si>
  <si>
    <t>Mục đích sử dụng</t>
  </si>
  <si>
    <t>CLN</t>
  </si>
  <si>
    <t>17=11+12+…+16</t>
  </si>
  <si>
    <t>18=17</t>
  </si>
  <si>
    <t xml:space="preserve">Đất nông nghiệp trồng cây hàng năm khác (BHK):                  </t>
  </si>
  <si>
    <t xml:space="preserve">Đất nông nghiệp trồng cây hàng năm khác (LUK):                  </t>
  </si>
  <si>
    <t>Đất nông nghiệp chuyên trồng lúa nước (LUC):</t>
  </si>
  <si>
    <t xml:space="preserve">Đất nông nghiệp trồng cây lâu năm khác (CLN):                  </t>
  </si>
  <si>
    <t>Bồi thường chi phí đầu tư vào đất còn lại (đất nông nghiệp chuyên trồng lúa nước (LUC):</t>
  </si>
  <si>
    <t xml:space="preserve">Hỗ trợ đất NN trồng cây hằng năm: </t>
  </si>
  <si>
    <t>1.2.</t>
  </si>
  <si>
    <t>1.1.</t>
  </si>
  <si>
    <t>2.</t>
  </si>
  <si>
    <t xml:space="preserve">Hỗ trợ đất NN trồng cây lâu năm: </t>
  </si>
  <si>
    <t>2.1.</t>
  </si>
  <si>
    <t>2.2.</t>
  </si>
  <si>
    <t>1.</t>
  </si>
  <si>
    <t>3.</t>
  </si>
  <si>
    <t>Hỗ trợ kinh phí đào tạo nghề</t>
  </si>
  <si>
    <t xml:space="preserve">4. </t>
  </si>
  <si>
    <t xml:space="preserve">Hỗ trợ diện tích trong dự án </t>
  </si>
  <si>
    <t>Hỗ trợ ổn định đời sống: (=1.1+1.2)</t>
  </si>
  <si>
    <t>Hỗ trợ đào tạo, chuyển đổi nghề và tìm kiếm việc làm: (=2.1+2.2)</t>
  </si>
  <si>
    <t>DT đất thu hồi (m2)</t>
  </si>
  <si>
    <t>Mức hỗ trợ (đ/m2)</t>
  </si>
  <si>
    <t>Kinh phí hỗ trợ bàn giao mặt bằng sớm - Khuyễn khích tiến độ bàn giao mặt bằng</t>
  </si>
  <si>
    <t>Kèm theo Tờ trình số      /TTr-TTQĐ ngày      /4/2024 của Trung tâm PTQĐ và CCN thành phố</t>
  </si>
  <si>
    <t>DỰ TOÁN DANH SÁCH HỖ TRỢ BÀN GIAO MẶT BẰNG SỚM (KHUYẾN KHÍCH TiẾN ĐỘ BÀN GIAO MẶT BẰNG)</t>
  </si>
  <si>
    <t>Kèm theo Tờ trình số          /TTr-TTQĐ ngày        /4/2024 của Trung tâm Phát triểm quỹ đất và CCN thành phố</t>
  </si>
  <si>
    <t>13=8+9+…12</t>
  </si>
  <si>
    <t>14=13</t>
  </si>
  <si>
    <t>17=11*30.000</t>
  </si>
  <si>
    <t>23=19*21*22</t>
  </si>
  <si>
    <t>25=13*15*3</t>
  </si>
  <si>
    <t>24=13*10.000</t>
  </si>
  <si>
    <t>27=26*3.500.000</t>
  </si>
  <si>
    <t>28=16+17+23+24+25+27</t>
  </si>
  <si>
    <t>29=28</t>
  </si>
  <si>
    <t>Kinh phí bồi thường, hỗ trợ di chuyển mộ: (=1+2+…6)</t>
  </si>
  <si>
    <t>Chi phí đào, bốc mộ :</t>
  </si>
  <si>
    <t>Chi phí di chuyển mộ:</t>
  </si>
  <si>
    <t>4.</t>
  </si>
  <si>
    <t>Chi phí hỗ trợ hợp lý khác:</t>
  </si>
  <si>
    <t>5.</t>
  </si>
  <si>
    <t>Chi phí cho việc tự bố trí đất đai để tiếp nhận mộ:</t>
  </si>
  <si>
    <t>6.</t>
  </si>
  <si>
    <t>Dự toán kinh phí hỗ trợ bàn giao mặt bằng sớm (Khuyến khích tiến độ bàn giao mặt bằng sớm):</t>
  </si>
  <si>
    <t>đ/mộ</t>
  </si>
  <si>
    <t>Kinh phí bồi thường về mộ</t>
  </si>
  <si>
    <t>Chi phí đào, bốc mộ chưa cải táng:</t>
  </si>
  <si>
    <t>Chi phí đào, bốc mộ đã cải táng:</t>
  </si>
  <si>
    <t>Chi phí hỗ trợ hợp lý khác đối với mộ có chủ:</t>
  </si>
  <si>
    <t>Các khoản hỗ trợ về đất: (= 1+2+3+4)</t>
  </si>
  <si>
    <t>C.</t>
  </si>
  <si>
    <t>B.</t>
  </si>
  <si>
    <t>Tổng kinh phí bồi thường, hỗ trợ về đất: =I+II+III+IV+V</t>
  </si>
  <si>
    <t>Tổng kinh phí đề nghị phê duyệt phương án bồi thường, hỗ trợ GPMB: =B+C</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</si>
</sst>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0_);_(* \(#,##0.0\);_(* &quot;-&quot;??_);_(@_)"/>
    <numFmt numFmtId="165" formatCode="_(* #,##0_);_(* \(#,##0\);_(* &quot;-&quot;??_);_(@_)"/>
    <numFmt numFmtId="166" formatCode="#,##0.0"/>
    <numFmt numFmtId="167" formatCode="0.0"/>
    <numFmt numFmtId="168" formatCode="_-* #,##0.0\ _₫_-;\-* #,##0.0\ _₫_-;_-* &quot;-&quot;?\ _₫_-;_-@_-"/>
    <numFmt numFmtId="169" formatCode="_(* #,##0.000_);_(* \(#,##0.000\);_(* &quot;-&quot;??_);_(@_)"/>
  </numFmts>
  <fonts count="59">
    <font>
      <sz val="11"/>
      <color theme="1"/>
      <name val="Calibri"/>
      <family val="2"/>
      <scheme val="minor"/>
    </font>
    <font>
      <sz val="10"/>
      <name val="Arial"/>
      <family val="2"/>
    </font>
    <font>
      <b/>
      <sz val="16"/>
      <color theme="1"/>
      <name val="Times New Roman"/>
      <family val="1"/>
    </font>
    <font>
      <sz val="10"/>
      <color theme="1"/>
      <name val="Times New Roman"/>
      <family val="1"/>
    </font>
    <font>
      <sz val="10"/>
      <name val="Times New Roman"/>
      <family val="1"/>
    </font>
    <font>
      <b/>
      <sz val="16"/>
      <name val="Times New Roman"/>
      <family val="1"/>
    </font>
    <font>
      <b/>
      <sz val="14"/>
      <name val="Times New Roman"/>
      <family val="1"/>
    </font>
    <font>
      <i/>
      <sz val="14"/>
      <name val="Times New Roman"/>
      <family val="1"/>
    </font>
    <font>
      <b/>
      <sz val="13"/>
      <color theme="1"/>
      <name val="Times New Roman"/>
      <family val="1"/>
    </font>
    <font>
      <sz val="11"/>
      <color indexed="8"/>
      <name val="Calibri"/>
      <family val="2"/>
    </font>
    <font>
      <b/>
      <sz val="14"/>
      <color theme="1"/>
      <name val="Times New Roman"/>
      <family val="1"/>
    </font>
    <font>
      <sz val="11"/>
      <color theme="1"/>
      <name val="Calibri"/>
      <family val="2"/>
      <scheme val="minor"/>
    </font>
    <font>
      <b/>
      <sz val="12"/>
      <color theme="1"/>
      <name val="Times New Roman"/>
      <family val="1"/>
    </font>
    <font>
      <b/>
      <sz val="12"/>
      <name val="Times New Roman"/>
      <family val="1"/>
    </font>
    <font>
      <b/>
      <sz val="14"/>
      <name val="Times New Roman"/>
      <family val="1"/>
      <charset val="163"/>
    </font>
    <font>
      <sz val="13"/>
      <color theme="1"/>
      <name val="Times New Roman"/>
      <family val="1"/>
    </font>
    <font>
      <b/>
      <sz val="13"/>
      <name val="Times New Roman"/>
      <family val="1"/>
    </font>
    <font>
      <sz val="12"/>
      <color theme="1"/>
      <name val="Times New Roman"/>
      <family val="1"/>
    </font>
    <font>
      <i/>
      <sz val="12"/>
      <color theme="1"/>
      <name val="Times New Roman"/>
      <family val="1"/>
    </font>
    <font>
      <b/>
      <sz val="14"/>
      <color theme="1"/>
      <name val="Times New Roman"/>
      <family val="1"/>
      <charset val="163"/>
    </font>
    <font>
      <i/>
      <sz val="9"/>
      <color theme="1"/>
      <name val="Times New Roman"/>
      <family val="1"/>
    </font>
    <font>
      <sz val="16"/>
      <color theme="1"/>
      <name val="Times New Roman"/>
      <family val="1"/>
    </font>
    <font>
      <sz val="14"/>
      <color theme="1"/>
      <name val="Times New Roman"/>
      <family val="1"/>
    </font>
    <font>
      <sz val="14"/>
      <color rgb="FFFF0000"/>
      <name val="Times New Roman"/>
      <family val="1"/>
    </font>
    <font>
      <i/>
      <sz val="14"/>
      <color rgb="FFFF0000"/>
      <name val="Times New Roman"/>
      <family val="1"/>
    </font>
    <font>
      <i/>
      <sz val="14"/>
      <color theme="1"/>
      <name val="Times New Roman"/>
      <family val="1"/>
    </font>
    <font>
      <sz val="11"/>
      <color theme="1"/>
      <name val="Times New Roman"/>
      <family val="1"/>
    </font>
    <font>
      <sz val="14"/>
      <name val="Times New Roman"/>
      <family val="1"/>
    </font>
    <font>
      <sz val="13"/>
      <name val="Times New Roman"/>
      <family val="1"/>
    </font>
    <font>
      <sz val="12"/>
      <name val="Times New Roman"/>
      <family val="1"/>
    </font>
    <font>
      <b/>
      <sz val="13"/>
      <color theme="1"/>
      <name val="Arial"/>
      <family val="2"/>
    </font>
    <font>
      <b/>
      <sz val="13"/>
      <color theme="1"/>
      <name val="Times New Roman"/>
      <family val="1"/>
      <charset val="163"/>
    </font>
    <font>
      <sz val="14"/>
      <color theme="1"/>
      <name val="Arial"/>
      <family val="2"/>
    </font>
    <font>
      <b/>
      <sz val="14"/>
      <color theme="1"/>
      <name val="Arial"/>
      <family val="2"/>
    </font>
    <font>
      <sz val="11"/>
      <color theme="1"/>
      <name val="Arial"/>
      <family val="2"/>
    </font>
    <font>
      <sz val="13"/>
      <color theme="1"/>
      <name val="Arial"/>
      <family val="2"/>
    </font>
    <font>
      <b/>
      <sz val="13"/>
      <color theme="1"/>
      <name val="Arial"/>
      <family val="2"/>
      <charset val="163"/>
    </font>
    <font>
      <sz val="12"/>
      <color theme="1"/>
      <name val="Arial"/>
      <family val="2"/>
    </font>
    <font>
      <b/>
      <sz val="18"/>
      <color theme="1"/>
      <name val="Times New Roman"/>
      <family val="1"/>
    </font>
    <font>
      <i/>
      <sz val="16"/>
      <color theme="1"/>
      <name val="Times New Roman"/>
      <family val="1"/>
    </font>
    <font>
      <vertAlign val="superscript"/>
      <sz val="13"/>
      <color theme="1"/>
      <name val="Times New Roman"/>
      <family val="1"/>
    </font>
    <font>
      <b/>
      <vertAlign val="superscript"/>
      <sz val="13"/>
      <color theme="1"/>
      <name val="Times New Roman"/>
      <family val="1"/>
    </font>
    <font>
      <b/>
      <sz val="20"/>
      <color theme="1"/>
      <name val="Times New Roman"/>
      <family val="1"/>
    </font>
    <font>
      <i/>
      <sz val="12"/>
      <name val="Times New Roman"/>
      <family val="1"/>
    </font>
    <font>
      <b/>
      <i/>
      <sz val="14"/>
      <name val="Times New Roman"/>
      <family val="1"/>
    </font>
    <font>
      <b/>
      <sz val="14"/>
      <color indexed="12"/>
      <name val="Times New Roman"/>
      <family val="1"/>
    </font>
    <font>
      <b/>
      <sz val="14"/>
      <color indexed="12"/>
      <name val=".VnTime"/>
      <family val="2"/>
    </font>
    <font>
      <b/>
      <sz val="13"/>
      <color indexed="12"/>
      <name val="Times New Roman"/>
      <family val="1"/>
    </font>
    <font>
      <b/>
      <sz val="12"/>
      <color indexed="12"/>
      <name val="Times New Roman"/>
      <family val="1"/>
    </font>
    <font>
      <vertAlign val="superscript"/>
      <sz val="14"/>
      <name val="Times New Roman"/>
      <family val="1"/>
    </font>
    <font>
      <sz val="9"/>
      <name val="Times New Roman"/>
      <family val="1"/>
    </font>
    <font>
      <b/>
      <vertAlign val="superscript"/>
      <sz val="14"/>
      <name val="Times New Roman"/>
      <family val="1"/>
    </font>
    <font>
      <sz val="11"/>
      <name val="Times New Roman"/>
      <family val="1"/>
    </font>
    <font>
      <sz val="14"/>
      <color rgb="FF000000"/>
      <name val="Times New Roman"/>
      <family val="1"/>
    </font>
    <font>
      <b/>
      <sz val="11"/>
      <color theme="1"/>
      <name val="Calibri"/>
      <family val="2"/>
      <scheme val="minor"/>
    </font>
    <font>
      <sz val="10"/>
      <name val=".VnTime"/>
      <family val="2"/>
    </font>
    <font>
      <b/>
      <sz val="11"/>
      <name val="Times New Roman"/>
      <family val="1"/>
    </font>
    <font>
      <b/>
      <sz val="11"/>
      <color theme="1"/>
      <name val="Times New Roman"/>
      <family val="1"/>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s>
  <cellStyleXfs count="6">
    <xf numFmtId="0" fontId="0" fillId="0" borderId="0"/>
    <xf numFmtId="43" fontId="9" fillId="0" borderId="0" applyFont="0" applyFill="0" applyBorder="0" applyAlignment="0" applyProtection="0"/>
    <xf numFmtId="9" fontId="11" fillId="0" borderId="0" applyFont="0" applyFill="0" applyBorder="0" applyAlignment="0" applyProtection="0"/>
    <xf numFmtId="0" fontId="1" fillId="0" borderId="0"/>
    <xf numFmtId="0" fontId="29" fillId="0" borderId="0"/>
    <xf numFmtId="0" fontId="55" fillId="0" borderId="0"/>
  </cellStyleXfs>
  <cellXfs count="410">
    <xf numFmtId="0" fontId="0" fillId="0" borderId="0" xfId="0"/>
    <xf numFmtId="0" fontId="3" fillId="2" borderId="0" xfId="3" applyFont="1" applyFill="1"/>
    <xf numFmtId="0" fontId="4" fillId="2" borderId="0" xfId="3" applyFont="1" applyFill="1"/>
    <xf numFmtId="0" fontId="4" fillId="2" borderId="0" xfId="3" applyFont="1" applyFill="1" applyAlignment="1">
      <alignment vertical="center"/>
    </xf>
    <xf numFmtId="0" fontId="13" fillId="2" borderId="0" xfId="3" applyFont="1" applyFill="1" applyAlignment="1">
      <alignment horizontal="center" vertical="center" wrapText="1"/>
    </xf>
    <xf numFmtId="0" fontId="8" fillId="2" borderId="10" xfId="3" applyFont="1" applyFill="1" applyBorder="1" applyAlignment="1">
      <alignment horizontal="center" vertical="center" wrapText="1"/>
    </xf>
    <xf numFmtId="0" fontId="12" fillId="2" borderId="0" xfId="3" applyFont="1" applyFill="1" applyAlignment="1">
      <alignment horizontal="center" vertical="center" wrapText="1"/>
    </xf>
    <xf numFmtId="0" fontId="2" fillId="2" borderId="10" xfId="3" applyFont="1" applyFill="1" applyBorder="1" applyAlignment="1">
      <alignment horizontal="center" vertical="center" wrapText="1"/>
    </xf>
    <xf numFmtId="0" fontId="15" fillId="2" borderId="11" xfId="3" applyFont="1" applyFill="1" applyBorder="1" applyAlignment="1">
      <alignment horizontal="center" vertical="center" wrapText="1"/>
    </xf>
    <xf numFmtId="167" fontId="15" fillId="2" borderId="11" xfId="1" applyNumberFormat="1" applyFont="1" applyFill="1" applyBorder="1" applyAlignment="1">
      <alignment horizontal="center" vertical="center" wrapText="1"/>
    </xf>
    <xf numFmtId="166" fontId="15" fillId="2" borderId="11" xfId="1" applyNumberFormat="1" applyFont="1" applyFill="1" applyBorder="1" applyAlignment="1">
      <alignment horizontal="center" vertical="center" wrapText="1"/>
    </xf>
    <xf numFmtId="164" fontId="15" fillId="2" borderId="12" xfId="1" applyNumberFormat="1" applyFont="1" applyFill="1" applyBorder="1" applyAlignment="1">
      <alignment horizontal="center" vertical="center" wrapText="1"/>
    </xf>
    <xf numFmtId="0" fontId="15" fillId="2" borderId="10" xfId="3" applyFont="1" applyFill="1" applyBorder="1" applyAlignment="1">
      <alignment horizontal="center" vertical="center" wrapText="1"/>
    </xf>
    <xf numFmtId="164" fontId="8" fillId="2" borderId="10" xfId="1" applyNumberFormat="1" applyFont="1" applyFill="1" applyBorder="1" applyAlignment="1">
      <alignment horizontal="center" vertical="center" wrapText="1"/>
    </xf>
    <xf numFmtId="0" fontId="8" fillId="2" borderId="11" xfId="3" applyFont="1" applyFill="1" applyBorder="1" applyAlignment="1">
      <alignment horizontal="center" vertical="center" wrapText="1"/>
    </xf>
    <xf numFmtId="165" fontId="8" fillId="2" borderId="11" xfId="1" applyNumberFormat="1" applyFont="1" applyFill="1" applyBorder="1" applyAlignment="1">
      <alignment horizontal="center" vertical="center" wrapText="1"/>
    </xf>
    <xf numFmtId="43" fontId="8" fillId="2" borderId="11" xfId="1" applyFont="1" applyFill="1" applyBorder="1" applyAlignment="1">
      <alignment horizontal="center" vertical="center" wrapText="1"/>
    </xf>
    <xf numFmtId="3" fontId="8" fillId="2" borderId="11" xfId="0" applyNumberFormat="1" applyFont="1" applyFill="1" applyBorder="1" applyAlignment="1">
      <alignment horizontal="center" vertical="center" wrapText="1"/>
    </xf>
    <xf numFmtId="3" fontId="8" fillId="2" borderId="2" xfId="0" applyNumberFormat="1" applyFont="1" applyFill="1" applyBorder="1" applyAlignment="1">
      <alignment horizontal="center" vertical="center" wrapText="1"/>
    </xf>
    <xf numFmtId="1" fontId="8" fillId="2" borderId="2" xfId="0" applyNumberFormat="1" applyFont="1" applyFill="1" applyBorder="1" applyAlignment="1">
      <alignment horizontal="center" vertical="center" wrapText="1"/>
    </xf>
    <xf numFmtId="3" fontId="8" fillId="2" borderId="10" xfId="0" applyNumberFormat="1" applyFont="1" applyFill="1" applyBorder="1" applyAlignment="1">
      <alignment horizontal="center" vertical="center" wrapText="1"/>
    </xf>
    <xf numFmtId="3" fontId="12" fillId="2" borderId="10" xfId="0" applyNumberFormat="1" applyFont="1" applyFill="1" applyBorder="1" applyAlignment="1">
      <alignment horizontal="center" vertical="center" wrapText="1"/>
    </xf>
    <xf numFmtId="0" fontId="17" fillId="2" borderId="11" xfId="3" applyFont="1" applyFill="1" applyBorder="1" applyAlignment="1">
      <alignment vertical="center" wrapText="1"/>
    </xf>
    <xf numFmtId="0" fontId="18" fillId="2" borderId="13" xfId="3" applyFont="1" applyFill="1" applyBorder="1" applyAlignment="1">
      <alignment horizontal="center" vertical="center"/>
    </xf>
    <xf numFmtId="0" fontId="17" fillId="2" borderId="11" xfId="3" applyFont="1" applyFill="1" applyBorder="1" applyAlignment="1">
      <alignment horizontal="center" vertical="center" wrapText="1"/>
    </xf>
    <xf numFmtId="0" fontId="18" fillId="2" borderId="13" xfId="3" applyFont="1" applyFill="1" applyBorder="1" applyAlignment="1">
      <alignment horizontal="center" vertical="center" wrapText="1"/>
    </xf>
    <xf numFmtId="0" fontId="18" fillId="2" borderId="0" xfId="3" applyFont="1" applyFill="1" applyAlignment="1">
      <alignment horizontal="center" vertical="center"/>
    </xf>
    <xf numFmtId="0" fontId="10" fillId="2" borderId="11" xfId="3" applyFont="1" applyFill="1" applyBorder="1" applyAlignment="1">
      <alignment vertical="center"/>
    </xf>
    <xf numFmtId="0" fontId="19" fillId="2" borderId="11" xfId="3" applyFont="1" applyFill="1" applyBorder="1" applyAlignment="1">
      <alignment vertical="center"/>
    </xf>
    <xf numFmtId="167" fontId="10" fillId="2" borderId="11" xfId="1" applyNumberFormat="1" applyFont="1" applyFill="1" applyBorder="1" applyAlignment="1">
      <alignment vertical="center"/>
    </xf>
    <xf numFmtId="164" fontId="10" fillId="2" borderId="11" xfId="1" applyNumberFormat="1" applyFont="1" applyFill="1" applyBorder="1" applyAlignment="1">
      <alignment vertical="center"/>
    </xf>
    <xf numFmtId="0" fontId="20" fillId="2" borderId="0" xfId="3" applyFont="1" applyFill="1" applyAlignment="1">
      <alignment horizontal="center" vertical="center"/>
    </xf>
    <xf numFmtId="0" fontId="21" fillId="2" borderId="11" xfId="3" applyFont="1" applyFill="1" applyBorder="1" applyAlignment="1">
      <alignment horizontal="center" vertical="center" wrapText="1"/>
    </xf>
    <xf numFmtId="0" fontId="22" fillId="2" borderId="13" xfId="0" applyFont="1" applyFill="1" applyBorder="1" applyAlignment="1">
      <alignment horizontal="left" vertical="center" wrapText="1"/>
    </xf>
    <xf numFmtId="0" fontId="22" fillId="2" borderId="11" xfId="0" applyFont="1" applyFill="1" applyBorder="1" applyAlignment="1">
      <alignment horizontal="center" vertical="center"/>
    </xf>
    <xf numFmtId="167" fontId="22" fillId="2" borderId="11" xfId="1" applyNumberFormat="1" applyFont="1" applyFill="1" applyBorder="1" applyAlignment="1">
      <alignment horizontal="center" vertical="center"/>
    </xf>
    <xf numFmtId="0" fontId="22" fillId="2" borderId="11" xfId="0" applyFont="1" applyFill="1" applyBorder="1" applyAlignment="1">
      <alignment horizontal="center" vertical="center" wrapText="1"/>
    </xf>
    <xf numFmtId="166" fontId="22" fillId="2" borderId="11" xfId="0" applyNumberFormat="1" applyFont="1" applyFill="1" applyBorder="1" applyAlignment="1">
      <alignment horizontal="center" vertical="center"/>
    </xf>
    <xf numFmtId="164" fontId="22" fillId="2" borderId="11" xfId="3" applyNumberFormat="1" applyFont="1" applyFill="1" applyBorder="1" applyAlignment="1">
      <alignment horizontal="center" vertical="center" wrapText="1"/>
    </xf>
    <xf numFmtId="164" fontId="22" fillId="2" borderId="11" xfId="1" applyNumberFormat="1" applyFont="1" applyFill="1" applyBorder="1" applyAlignment="1">
      <alignment vertical="center" wrapText="1"/>
    </xf>
    <xf numFmtId="165" fontId="15" fillId="2" borderId="11" xfId="3" applyNumberFormat="1" applyFont="1" applyFill="1" applyBorder="1" applyAlignment="1">
      <alignment horizontal="center" vertical="center" wrapText="1"/>
    </xf>
    <xf numFmtId="165" fontId="22" fillId="2" borderId="11" xfId="3" applyNumberFormat="1" applyFont="1" applyFill="1" applyBorder="1" applyAlignment="1">
      <alignment horizontal="center" vertical="center" wrapText="1"/>
    </xf>
    <xf numFmtId="0" fontId="15" fillId="2" borderId="11" xfId="0" applyFont="1" applyFill="1" applyBorder="1" applyAlignment="1">
      <alignment horizontal="center" vertical="center" wrapText="1"/>
    </xf>
    <xf numFmtId="9" fontId="22" fillId="2" borderId="11" xfId="2" applyFont="1" applyFill="1" applyBorder="1" applyAlignment="1">
      <alignment horizontal="center" vertical="center" wrapText="1"/>
    </xf>
    <xf numFmtId="165" fontId="17" fillId="2" borderId="11" xfId="1" applyNumberFormat="1" applyFont="1" applyFill="1" applyBorder="1" applyAlignment="1">
      <alignment horizontal="center" vertical="center" wrapText="1"/>
    </xf>
    <xf numFmtId="0" fontId="17" fillId="2" borderId="11" xfId="0" applyFont="1" applyFill="1" applyBorder="1" applyAlignment="1">
      <alignment vertical="center" wrapText="1"/>
    </xf>
    <xf numFmtId="0" fontId="23" fillId="2" borderId="0" xfId="3" applyFont="1" applyFill="1" applyAlignment="1">
      <alignment horizontal="center" vertical="center" wrapText="1"/>
    </xf>
    <xf numFmtId="0" fontId="24" fillId="2" borderId="0" xfId="3" applyFont="1" applyFill="1" applyAlignment="1">
      <alignment horizontal="center" vertical="center" wrapText="1"/>
    </xf>
    <xf numFmtId="1" fontId="15" fillId="2" borderId="14" xfId="0" applyNumberFormat="1" applyFont="1" applyFill="1" applyBorder="1" applyAlignment="1">
      <alignment horizontal="center" vertical="center"/>
    </xf>
    <xf numFmtId="167" fontId="15" fillId="2" borderId="14" xfId="1" applyNumberFormat="1" applyFont="1" applyFill="1" applyBorder="1" applyAlignment="1">
      <alignment horizontal="right" vertical="center"/>
    </xf>
    <xf numFmtId="0" fontId="22" fillId="2" borderId="11" xfId="0" applyFont="1" applyFill="1" applyBorder="1" applyAlignment="1">
      <alignment vertical="center" wrapText="1"/>
    </xf>
    <xf numFmtId="0" fontId="10" fillId="2" borderId="11" xfId="0" applyFont="1" applyFill="1" applyBorder="1" applyAlignment="1">
      <alignment vertical="center" wrapText="1"/>
    </xf>
    <xf numFmtId="1" fontId="15" fillId="2" borderId="15" xfId="0" applyNumberFormat="1" applyFont="1" applyFill="1" applyBorder="1" applyAlignment="1">
      <alignment horizontal="center" vertical="center"/>
    </xf>
    <xf numFmtId="167" fontId="15" fillId="2" borderId="15" xfId="1" applyNumberFormat="1" applyFont="1" applyFill="1" applyBorder="1" applyAlignment="1">
      <alignment horizontal="center" vertical="center"/>
    </xf>
    <xf numFmtId="165" fontId="10" fillId="2" borderId="2" xfId="3" applyNumberFormat="1" applyFont="1" applyFill="1" applyBorder="1" applyAlignment="1">
      <alignment horizontal="center" vertical="center" wrapText="1"/>
    </xf>
    <xf numFmtId="165" fontId="10" fillId="2" borderId="6" xfId="3" applyNumberFormat="1" applyFont="1" applyFill="1" applyBorder="1" applyAlignment="1">
      <alignment horizontal="center" vertical="center" wrapText="1"/>
    </xf>
    <xf numFmtId="165" fontId="17" fillId="2" borderId="11" xfId="0" applyNumberFormat="1" applyFont="1" applyFill="1" applyBorder="1" applyAlignment="1">
      <alignment vertical="center" wrapText="1"/>
    </xf>
    <xf numFmtId="0" fontId="22" fillId="2" borderId="2" xfId="0" applyFont="1" applyFill="1" applyBorder="1" applyAlignment="1">
      <alignment vertical="center" wrapText="1"/>
    </xf>
    <xf numFmtId="0" fontId="10" fillId="2" borderId="2" xfId="0" applyFont="1" applyFill="1" applyBorder="1" applyAlignment="1">
      <alignment vertical="center" wrapText="1"/>
    </xf>
    <xf numFmtId="164" fontId="10" fillId="2" borderId="2" xfId="1" applyNumberFormat="1" applyFont="1" applyFill="1" applyBorder="1" applyAlignment="1">
      <alignment horizontal="center" vertical="center" wrapText="1"/>
    </xf>
    <xf numFmtId="165" fontId="22" fillId="2" borderId="11" xfId="1" applyNumberFormat="1" applyFont="1" applyFill="1" applyBorder="1" applyAlignment="1">
      <alignment horizontal="center" vertical="center" wrapText="1"/>
    </xf>
    <xf numFmtId="164" fontId="10" fillId="2" borderId="10" xfId="1" applyNumberFormat="1" applyFont="1" applyFill="1" applyBorder="1" applyAlignment="1">
      <alignment horizontal="center" vertical="center" wrapText="1"/>
    </xf>
    <xf numFmtId="165" fontId="10" fillId="2" borderId="10" xfId="3" applyNumberFormat="1" applyFont="1" applyFill="1" applyBorder="1" applyAlignment="1">
      <alignment horizontal="center" vertical="center" wrapText="1"/>
    </xf>
    <xf numFmtId="164" fontId="10" fillId="2" borderId="11" xfId="1" applyNumberFormat="1" applyFont="1" applyFill="1" applyBorder="1" applyAlignment="1">
      <alignment vertical="center" wrapText="1"/>
    </xf>
    <xf numFmtId="165" fontId="10" fillId="2" borderId="11" xfId="3" applyNumberFormat="1" applyFont="1" applyFill="1" applyBorder="1" applyAlignment="1">
      <alignment vertical="center" wrapText="1"/>
    </xf>
    <xf numFmtId="2" fontId="15" fillId="2" borderId="16" xfId="0" applyNumberFormat="1" applyFont="1" applyFill="1" applyBorder="1" applyAlignment="1">
      <alignment horizontal="left" vertical="center" wrapText="1"/>
    </xf>
    <xf numFmtId="164" fontId="22" fillId="2" borderId="11" xfId="1" applyNumberFormat="1" applyFont="1" applyFill="1" applyBorder="1" applyAlignment="1">
      <alignment horizontal="center" vertical="center" wrapText="1"/>
    </xf>
    <xf numFmtId="0" fontId="22" fillId="2" borderId="0" xfId="3" applyFont="1" applyFill="1" applyAlignment="1">
      <alignment horizontal="center" vertical="center" wrapText="1"/>
    </xf>
    <xf numFmtId="0" fontId="25" fillId="2" borderId="0" xfId="3" applyFont="1" applyFill="1" applyAlignment="1">
      <alignment horizontal="center" vertical="center" wrapText="1"/>
    </xf>
    <xf numFmtId="0" fontId="17" fillId="2" borderId="11" xfId="0" applyFont="1" applyFill="1" applyBorder="1" applyAlignment="1">
      <alignment horizontal="center" vertical="center" wrapText="1"/>
    </xf>
    <xf numFmtId="2" fontId="15" fillId="2" borderId="14" xfId="0" applyNumberFormat="1" applyFont="1" applyFill="1" applyBorder="1" applyAlignment="1">
      <alignment horizontal="center" vertical="center"/>
    </xf>
    <xf numFmtId="167" fontId="15" fillId="2" borderId="14" xfId="0" applyNumberFormat="1" applyFont="1" applyFill="1" applyBorder="1" applyAlignment="1">
      <alignment horizontal="right" vertical="center"/>
    </xf>
    <xf numFmtId="0" fontId="22" fillId="2"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10" fillId="2" borderId="6" xfId="0" applyFont="1" applyFill="1" applyBorder="1" applyAlignment="1">
      <alignment horizontal="center" vertical="center" wrapText="1"/>
    </xf>
    <xf numFmtId="165" fontId="10" fillId="2" borderId="11" xfId="3" applyNumberFormat="1" applyFont="1" applyFill="1" applyBorder="1" applyAlignment="1">
      <alignment horizontal="center" vertical="center" wrapText="1"/>
    </xf>
    <xf numFmtId="0" fontId="22" fillId="2" borderId="10"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2" fillId="2" borderId="2" xfId="0" applyFont="1" applyFill="1" applyBorder="1" applyAlignment="1">
      <alignment horizontal="center" vertical="center"/>
    </xf>
    <xf numFmtId="167" fontId="22" fillId="2" borderId="2" xfId="1" applyNumberFormat="1" applyFont="1" applyFill="1" applyBorder="1" applyAlignment="1">
      <alignment horizontal="center" vertical="center"/>
    </xf>
    <xf numFmtId="168" fontId="17" fillId="2" borderId="11" xfId="0" applyNumberFormat="1" applyFont="1" applyFill="1" applyBorder="1" applyAlignment="1">
      <alignment vertical="center" wrapText="1"/>
    </xf>
    <xf numFmtId="0" fontId="22" fillId="2" borderId="4" xfId="3" applyFont="1" applyFill="1" applyBorder="1" applyAlignment="1">
      <alignment horizontal="center" vertical="center" wrapText="1"/>
    </xf>
    <xf numFmtId="0" fontId="22" fillId="2" borderId="5" xfId="3" applyFont="1" applyFill="1" applyBorder="1" applyAlignment="1">
      <alignment horizontal="center" vertical="center" wrapText="1"/>
    </xf>
    <xf numFmtId="0" fontId="10" fillId="2" borderId="3" xfId="3" applyFont="1" applyFill="1" applyBorder="1" applyAlignment="1">
      <alignment horizontal="center" vertical="center" wrapText="1"/>
    </xf>
    <xf numFmtId="164" fontId="10" fillId="2" borderId="11" xfId="1" applyNumberFormat="1" applyFont="1" applyFill="1" applyBorder="1" applyAlignment="1">
      <alignment horizontal="center" vertical="center" wrapText="1"/>
    </xf>
    <xf numFmtId="2" fontId="26" fillId="2" borderId="14" xfId="0" applyNumberFormat="1" applyFont="1" applyFill="1" applyBorder="1" applyAlignment="1">
      <alignment horizontal="center" vertical="center"/>
    </xf>
    <xf numFmtId="1" fontId="22" fillId="2" borderId="14" xfId="0" applyNumberFormat="1" applyFont="1" applyFill="1" applyBorder="1" applyAlignment="1">
      <alignment horizontal="center" vertical="center"/>
    </xf>
    <xf numFmtId="167" fontId="22" fillId="2" borderId="14" xfId="0" applyNumberFormat="1" applyFont="1" applyFill="1" applyBorder="1" applyAlignment="1">
      <alignment horizontal="right" vertical="center"/>
    </xf>
    <xf numFmtId="2" fontId="22" fillId="2" borderId="14" xfId="0" applyNumberFormat="1" applyFont="1" applyFill="1" applyBorder="1" applyAlignment="1">
      <alignment horizontal="center" vertical="center"/>
    </xf>
    <xf numFmtId="0" fontId="22" fillId="2" borderId="17" xfId="0" applyFont="1" applyFill="1" applyBorder="1" applyAlignment="1">
      <alignment vertical="center" wrapText="1"/>
    </xf>
    <xf numFmtId="0" fontId="22" fillId="2" borderId="17" xfId="0" applyFont="1" applyFill="1" applyBorder="1" applyAlignment="1">
      <alignment horizontal="center" vertical="center" wrapText="1"/>
    </xf>
    <xf numFmtId="0" fontId="10" fillId="2" borderId="17" xfId="0" applyFont="1" applyFill="1" applyBorder="1" applyAlignment="1">
      <alignment horizontal="center" vertical="center" wrapText="1"/>
    </xf>
    <xf numFmtId="167" fontId="15" fillId="2" borderId="14" xfId="0" applyNumberFormat="1" applyFont="1" applyFill="1" applyBorder="1" applyAlignment="1">
      <alignment horizontal="center" vertical="center"/>
    </xf>
    <xf numFmtId="164" fontId="10" fillId="2" borderId="10" xfId="1" applyNumberFormat="1" applyFont="1" applyFill="1" applyBorder="1" applyAlignment="1">
      <alignment vertical="center" wrapText="1"/>
    </xf>
    <xf numFmtId="0" fontId="22" fillId="2" borderId="10" xfId="0" applyFont="1" applyFill="1" applyBorder="1" applyAlignment="1">
      <alignment horizontal="center" vertical="center"/>
    </xf>
    <xf numFmtId="167" fontId="22" fillId="2" borderId="10" xfId="1" applyNumberFormat="1" applyFont="1" applyFill="1" applyBorder="1" applyAlignment="1">
      <alignment horizontal="right" vertical="center"/>
    </xf>
    <xf numFmtId="2" fontId="26" fillId="2" borderId="11" xfId="3" applyNumberFormat="1" applyFont="1" applyFill="1" applyBorder="1" applyAlignment="1">
      <alignment horizontal="center" vertical="center"/>
    </xf>
    <xf numFmtId="0" fontId="2" fillId="2" borderId="0" xfId="3" applyFont="1" applyFill="1" applyAlignment="1">
      <alignment vertical="center" wrapText="1"/>
    </xf>
    <xf numFmtId="0" fontId="17" fillId="2" borderId="0" xfId="0" applyFont="1" applyFill="1" applyAlignment="1">
      <alignment horizontal="center" vertical="center" wrapText="1"/>
    </xf>
    <xf numFmtId="0" fontId="26" fillId="2" borderId="0" xfId="0" applyFont="1" applyFill="1" applyAlignment="1">
      <alignment horizontal="center" vertical="center" wrapText="1"/>
    </xf>
    <xf numFmtId="9" fontId="17" fillId="2" borderId="0" xfId="2" applyFont="1" applyFill="1" applyAlignment="1">
      <alignment horizontal="center" vertical="center" wrapText="1"/>
    </xf>
    <xf numFmtId="0" fontId="30" fillId="2" borderId="0" xfId="3" applyFont="1" applyFill="1" applyAlignment="1">
      <alignment horizontal="center" vertical="center"/>
    </xf>
    <xf numFmtId="0" fontId="15" fillId="2" borderId="0" xfId="3" applyFont="1" applyFill="1" applyAlignment="1">
      <alignment horizontal="left"/>
    </xf>
    <xf numFmtId="0" fontId="31" fillId="2" borderId="0" xfId="3" applyFont="1" applyFill="1" applyAlignment="1">
      <alignment horizontal="left"/>
    </xf>
    <xf numFmtId="0" fontId="22" fillId="2" borderId="0" xfId="3" applyFont="1" applyFill="1" applyAlignment="1">
      <alignment horizontal="center"/>
    </xf>
    <xf numFmtId="0" fontId="17" fillId="2" borderId="0" xfId="3" applyFont="1" applyFill="1" applyAlignment="1">
      <alignment horizontal="center" wrapText="1"/>
    </xf>
    <xf numFmtId="0" fontId="22" fillId="2" borderId="0" xfId="3" applyFont="1" applyFill="1"/>
    <xf numFmtId="164" fontId="32" fillId="2" borderId="0" xfId="1" applyNumberFormat="1" applyFont="1" applyFill="1" applyBorder="1"/>
    <xf numFmtId="164" fontId="32" fillId="2" borderId="0" xfId="1" applyNumberFormat="1" applyFont="1" applyFill="1"/>
    <xf numFmtId="0" fontId="33" fillId="2" borderId="0" xfId="3" applyFont="1" applyFill="1"/>
    <xf numFmtId="0" fontId="34" fillId="2" borderId="0" xfId="3" applyFont="1" applyFill="1"/>
    <xf numFmtId="43" fontId="22" fillId="2" borderId="0" xfId="1" applyFont="1" applyFill="1" applyBorder="1" applyAlignment="1">
      <alignment horizontal="right" vertical="center" wrapText="1"/>
    </xf>
    <xf numFmtId="165" fontId="22" fillId="2" borderId="0" xfId="1" applyNumberFormat="1" applyFont="1" applyFill="1" applyBorder="1" applyAlignment="1">
      <alignment horizontal="right" vertical="center" wrapText="1"/>
    </xf>
    <xf numFmtId="164" fontId="22" fillId="2" borderId="0" xfId="1" applyNumberFormat="1" applyFont="1" applyFill="1" applyBorder="1" applyAlignment="1">
      <alignment horizontal="center" vertical="center" wrapText="1"/>
    </xf>
    <xf numFmtId="0" fontId="22" fillId="2" borderId="0" xfId="0" applyFont="1" applyFill="1" applyAlignment="1">
      <alignment horizontal="center" vertical="center" wrapText="1"/>
    </xf>
    <xf numFmtId="0" fontId="22" fillId="2" borderId="0" xfId="0" applyFont="1" applyFill="1" applyAlignment="1">
      <alignment horizontal="right" vertical="center" wrapText="1"/>
    </xf>
    <xf numFmtId="0" fontId="35" fillId="2" borderId="0" xfId="3" applyFont="1" applyFill="1" applyAlignment="1">
      <alignment horizontal="left"/>
    </xf>
    <xf numFmtId="0" fontId="36" fillId="2" borderId="0" xfId="3" applyFont="1" applyFill="1" applyAlignment="1">
      <alignment horizontal="left"/>
    </xf>
    <xf numFmtId="0" fontId="32" fillId="2" borderId="0" xfId="3" applyFont="1" applyFill="1" applyAlignment="1">
      <alignment horizontal="center"/>
    </xf>
    <xf numFmtId="167" fontId="32" fillId="2" borderId="0" xfId="1" applyNumberFormat="1" applyFont="1" applyFill="1" applyBorder="1" applyAlignment="1">
      <alignment horizontal="center"/>
    </xf>
    <xf numFmtId="0" fontId="37" fillId="2" borderId="0" xfId="3" applyFont="1" applyFill="1" applyAlignment="1">
      <alignment horizontal="center" wrapText="1"/>
    </xf>
    <xf numFmtId="0" fontId="32" fillId="2" borderId="0" xfId="3" applyFont="1" applyFill="1"/>
    <xf numFmtId="165" fontId="34" fillId="2" borderId="0" xfId="1" applyNumberFormat="1" applyFont="1" applyFill="1" applyAlignment="1">
      <alignment horizontal="center" wrapText="1"/>
    </xf>
    <xf numFmtId="1" fontId="22" fillId="2" borderId="0" xfId="0" applyNumberFormat="1" applyFont="1" applyFill="1" applyAlignment="1">
      <alignment horizontal="right" vertical="center" wrapText="1"/>
    </xf>
    <xf numFmtId="0" fontId="12" fillId="2" borderId="0" xfId="0" applyFont="1" applyFill="1" applyAlignment="1">
      <alignment horizontal="right" vertical="center" wrapText="1"/>
    </xf>
    <xf numFmtId="167" fontId="32" fillId="2" borderId="0" xfId="1" applyNumberFormat="1" applyFont="1" applyFill="1" applyAlignment="1">
      <alignment horizontal="center"/>
    </xf>
    <xf numFmtId="164" fontId="10" fillId="2" borderId="0" xfId="1" applyNumberFormat="1" applyFont="1" applyFill="1" applyBorder="1" applyAlignment="1">
      <alignment horizontal="center" vertical="center" wrapText="1"/>
    </xf>
    <xf numFmtId="0" fontId="38" fillId="2" borderId="0" xfId="3" applyFont="1" applyFill="1" applyAlignment="1">
      <alignment horizontal="center" vertical="center"/>
    </xf>
    <xf numFmtId="0" fontId="38" fillId="2" borderId="0" xfId="0" applyFont="1" applyFill="1" applyAlignment="1">
      <alignment horizontal="center" vertical="center" wrapText="1"/>
    </xf>
    <xf numFmtId="0" fontId="10" fillId="2" borderId="0" xfId="0" applyFont="1" applyFill="1" applyAlignment="1">
      <alignment horizontal="center" vertical="center" wrapText="1"/>
    </xf>
    <xf numFmtId="0" fontId="35" fillId="2" borderId="0" xfId="3" applyFont="1" applyFill="1" applyAlignment="1">
      <alignment horizontal="center" vertical="center"/>
    </xf>
    <xf numFmtId="0" fontId="36" fillId="2" borderId="0" xfId="3" applyFont="1" applyFill="1" applyAlignment="1">
      <alignment horizontal="center" vertical="center"/>
    </xf>
    <xf numFmtId="167" fontId="35" fillId="2" borderId="0" xfId="1" applyNumberFormat="1" applyFont="1" applyFill="1" applyBorder="1" applyAlignment="1">
      <alignment horizontal="center" vertical="center"/>
    </xf>
    <xf numFmtId="0" fontId="35" fillId="2" borderId="0" xfId="3" applyFont="1" applyFill="1" applyAlignment="1">
      <alignment horizontal="center" vertical="center" wrapText="1"/>
    </xf>
    <xf numFmtId="164" fontId="35" fillId="2" borderId="0" xfId="1" applyNumberFormat="1" applyFont="1" applyFill="1" applyBorder="1" applyAlignment="1">
      <alignment horizontal="center" vertical="center"/>
    </xf>
    <xf numFmtId="164" fontId="35" fillId="2" borderId="0" xfId="1" applyNumberFormat="1" applyFont="1" applyFill="1" applyAlignment="1">
      <alignment horizontal="center" vertical="center"/>
    </xf>
    <xf numFmtId="0" fontId="33" fillId="2" borderId="0" xfId="3" applyFont="1" applyFill="1" applyAlignment="1">
      <alignment horizontal="center" vertical="center"/>
    </xf>
    <xf numFmtId="0" fontId="34" fillId="2" borderId="0" xfId="3" applyFont="1" applyFill="1" applyAlignment="1">
      <alignment horizontal="center" vertical="center"/>
    </xf>
    <xf numFmtId="0" fontId="8" fillId="2" borderId="0" xfId="3" applyFont="1" applyFill="1" applyAlignment="1">
      <alignment horizontal="center" vertical="center"/>
    </xf>
    <xf numFmtId="167" fontId="22" fillId="2" borderId="0" xfId="1" applyNumberFormat="1" applyFont="1" applyFill="1" applyAlignment="1">
      <alignment horizontal="center"/>
    </xf>
    <xf numFmtId="164" fontId="22" fillId="2" borderId="0" xfId="1" applyNumberFormat="1" applyFont="1" applyFill="1"/>
    <xf numFmtId="0" fontId="10" fillId="2" borderId="0" xfId="3" applyFont="1" applyFill="1"/>
    <xf numFmtId="0" fontId="26" fillId="2" borderId="0" xfId="3" applyFont="1" applyFill="1"/>
    <xf numFmtId="43" fontId="22" fillId="2" borderId="0" xfId="1" applyFont="1" applyFill="1" applyBorder="1" applyAlignment="1">
      <alignment horizontal="center" vertical="center" wrapText="1"/>
    </xf>
    <xf numFmtId="9" fontId="22" fillId="2" borderId="0" xfId="2" applyFont="1" applyFill="1" applyAlignment="1">
      <alignment horizontal="center" vertical="center" wrapText="1"/>
    </xf>
    <xf numFmtId="0" fontId="10" fillId="2" borderId="0" xfId="0" applyFont="1" applyFill="1" applyAlignment="1">
      <alignment horizontal="right" vertical="center" wrapText="1"/>
    </xf>
    <xf numFmtId="165" fontId="10" fillId="2" borderId="0" xfId="1" applyNumberFormat="1" applyFont="1" applyFill="1" applyBorder="1" applyAlignment="1">
      <alignment horizontal="right" vertical="center" wrapText="1"/>
    </xf>
    <xf numFmtId="0" fontId="12" fillId="2" borderId="0" xfId="0" applyFont="1" applyFill="1" applyAlignment="1">
      <alignment horizontal="center" vertical="center" wrapText="1"/>
    </xf>
    <xf numFmtId="0" fontId="12" fillId="2" borderId="8"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21" fillId="2" borderId="2" xfId="3" applyFont="1" applyFill="1" applyBorder="1" applyAlignment="1">
      <alignment horizontal="center" vertical="center" wrapText="1"/>
    </xf>
    <xf numFmtId="166" fontId="22" fillId="2" borderId="2" xfId="0" applyNumberFormat="1" applyFont="1" applyFill="1" applyBorder="1" applyAlignment="1">
      <alignment horizontal="center" vertical="center"/>
    </xf>
    <xf numFmtId="164" fontId="22" fillId="2" borderId="2" xfId="3" applyNumberFormat="1" applyFont="1" applyFill="1" applyBorder="1" applyAlignment="1">
      <alignment horizontal="center" vertical="center" wrapText="1"/>
    </xf>
    <xf numFmtId="0" fontId="27" fillId="3" borderId="0" xfId="3" applyFont="1" applyFill="1" applyAlignment="1">
      <alignment horizontal="center" vertical="center" wrapText="1"/>
    </xf>
    <xf numFmtId="0" fontId="7" fillId="3" borderId="0" xfId="3" applyFont="1" applyFill="1" applyAlignment="1">
      <alignment horizontal="center" vertical="center" wrapText="1"/>
    </xf>
    <xf numFmtId="167" fontId="22" fillId="2" borderId="14" xfId="0" applyNumberFormat="1" applyFont="1" applyFill="1" applyBorder="1" applyAlignment="1">
      <alignment horizontal="center" vertical="center"/>
    </xf>
    <xf numFmtId="0" fontId="22" fillId="2" borderId="9" xfId="0" applyFont="1" applyFill="1" applyBorder="1" applyAlignment="1">
      <alignment horizontal="left" vertical="center" wrapText="1"/>
    </xf>
    <xf numFmtId="167" fontId="22" fillId="2" borderId="10" xfId="1" applyNumberFormat="1" applyFont="1" applyFill="1" applyBorder="1" applyAlignment="1">
      <alignment horizontal="center" vertical="center"/>
    </xf>
    <xf numFmtId="165" fontId="22" fillId="2" borderId="10" xfId="3" applyNumberFormat="1" applyFont="1" applyFill="1" applyBorder="1" applyAlignment="1">
      <alignment horizontal="center" vertical="center" wrapText="1"/>
    </xf>
    <xf numFmtId="0" fontId="15" fillId="2" borderId="10" xfId="0" applyFont="1" applyFill="1" applyBorder="1" applyAlignment="1">
      <alignment horizontal="center" vertical="center" wrapText="1"/>
    </xf>
    <xf numFmtId="164" fontId="22" fillId="2" borderId="10" xfId="3" applyNumberFormat="1" applyFont="1" applyFill="1" applyBorder="1" applyAlignment="1">
      <alignment horizontal="center" vertical="center" wrapText="1"/>
    </xf>
    <xf numFmtId="168" fontId="17" fillId="2" borderId="10" xfId="0" applyNumberFormat="1" applyFont="1" applyFill="1" applyBorder="1" applyAlignment="1">
      <alignment vertical="center" wrapText="1"/>
    </xf>
    <xf numFmtId="165" fontId="25" fillId="2" borderId="0" xfId="3" applyNumberFormat="1" applyFont="1" applyFill="1" applyAlignment="1">
      <alignment horizontal="center" vertical="center" wrapText="1"/>
    </xf>
    <xf numFmtId="164" fontId="10" fillId="2" borderId="2" xfId="1" applyNumberFormat="1" applyFont="1" applyFill="1" applyBorder="1" applyAlignment="1">
      <alignment horizontal="center" vertical="center" wrapText="1"/>
    </xf>
    <xf numFmtId="164" fontId="10" fillId="2" borderId="6" xfId="1" applyNumberFormat="1" applyFont="1" applyFill="1" applyBorder="1" applyAlignment="1">
      <alignment horizontal="center" vertical="center" wrapText="1"/>
    </xf>
    <xf numFmtId="164" fontId="10" fillId="2" borderId="10" xfId="1" applyNumberFormat="1" applyFont="1" applyFill="1" applyBorder="1" applyAlignment="1">
      <alignment horizontal="center" vertical="center" wrapText="1"/>
    </xf>
    <xf numFmtId="164" fontId="10" fillId="2" borderId="11" xfId="1" applyNumberFormat="1" applyFont="1" applyFill="1" applyBorder="1" applyAlignment="1">
      <alignment horizontal="center" vertical="center" wrapText="1"/>
    </xf>
    <xf numFmtId="165" fontId="10" fillId="2" borderId="11" xfId="1" applyNumberFormat="1" applyFont="1" applyFill="1" applyBorder="1" applyAlignment="1">
      <alignment vertical="center"/>
    </xf>
    <xf numFmtId="166" fontId="8" fillId="2" borderId="11" xfId="0" applyNumberFormat="1" applyFont="1" applyFill="1" applyBorder="1" applyAlignment="1">
      <alignment horizontal="center" vertical="center" wrapText="1"/>
    </xf>
    <xf numFmtId="0" fontId="27" fillId="2" borderId="11" xfId="0" applyFont="1" applyFill="1" applyBorder="1" applyAlignment="1">
      <alignment vertical="center" wrapText="1"/>
    </xf>
    <xf numFmtId="0" fontId="27" fillId="2" borderId="11" xfId="0" applyFont="1" applyFill="1" applyBorder="1" applyAlignment="1">
      <alignment horizontal="center" vertical="center" wrapText="1"/>
    </xf>
    <xf numFmtId="0" fontId="10" fillId="2" borderId="11" xfId="3" applyFont="1" applyFill="1" applyBorder="1" applyAlignment="1">
      <alignment horizontal="center" vertical="center" wrapText="1"/>
    </xf>
    <xf numFmtId="0" fontId="19" fillId="2" borderId="11" xfId="3" applyFont="1" applyFill="1" applyBorder="1" applyAlignment="1">
      <alignment horizontal="center" vertical="center" wrapText="1"/>
    </xf>
    <xf numFmtId="9" fontId="8" fillId="2" borderId="11" xfId="2" applyFont="1" applyFill="1" applyBorder="1" applyAlignment="1">
      <alignment horizontal="center" vertical="center" wrapText="1"/>
    </xf>
    <xf numFmtId="165" fontId="10" fillId="2" borderId="6" xfId="3" applyNumberFormat="1" applyFont="1" applyFill="1" applyBorder="1" applyAlignment="1">
      <alignment vertical="center" wrapText="1"/>
    </xf>
    <xf numFmtId="165" fontId="10" fillId="2" borderId="10" xfId="3" applyNumberFormat="1" applyFont="1" applyFill="1" applyBorder="1" applyAlignment="1">
      <alignment vertical="center" wrapText="1"/>
    </xf>
    <xf numFmtId="0" fontId="21" fillId="2" borderId="6" xfId="3" applyFont="1" applyFill="1" applyBorder="1" applyAlignment="1">
      <alignment vertical="center" wrapText="1"/>
    </xf>
    <xf numFmtId="0" fontId="21" fillId="2" borderId="10" xfId="3" applyFont="1" applyFill="1" applyBorder="1" applyAlignment="1">
      <alignment vertical="center" wrapText="1"/>
    </xf>
    <xf numFmtId="0" fontId="27" fillId="2" borderId="11" xfId="0" applyFont="1" applyFill="1" applyBorder="1" applyAlignment="1">
      <alignment horizontal="left" vertical="center" wrapText="1"/>
    </xf>
    <xf numFmtId="0" fontId="21" fillId="2" borderId="11" xfId="3" applyFont="1" applyFill="1" applyBorder="1" applyAlignment="1">
      <alignment vertical="center" wrapText="1"/>
    </xf>
    <xf numFmtId="0" fontId="31" fillId="2" borderId="11" xfId="3" applyFont="1" applyFill="1" applyBorder="1" applyAlignment="1">
      <alignment horizontal="left"/>
    </xf>
    <xf numFmtId="164" fontId="32" fillId="2" borderId="11" xfId="1" applyNumberFormat="1" applyFont="1" applyFill="1" applyBorder="1"/>
    <xf numFmtId="0" fontId="33" fillId="2" borderId="11" xfId="3" applyFont="1" applyFill="1" applyBorder="1"/>
    <xf numFmtId="0" fontId="34" fillId="2" borderId="11" xfId="3" applyFont="1" applyFill="1" applyBorder="1"/>
    <xf numFmtId="165" fontId="34" fillId="2" borderId="11" xfId="1" applyNumberFormat="1" applyFont="1" applyFill="1" applyBorder="1" applyAlignment="1">
      <alignment horizontal="center" wrapText="1"/>
    </xf>
    <xf numFmtId="43" fontId="22" fillId="2" borderId="11" xfId="1" applyFont="1" applyFill="1" applyBorder="1" applyAlignment="1">
      <alignment horizontal="right" vertical="center" wrapText="1"/>
    </xf>
    <xf numFmtId="165" fontId="22" fillId="2" borderId="11" xfId="1" applyNumberFormat="1" applyFont="1" applyFill="1" applyBorder="1" applyAlignment="1">
      <alignment horizontal="right" vertical="center" wrapText="1"/>
    </xf>
    <xf numFmtId="9" fontId="17" fillId="2" borderId="11" xfId="2" applyFont="1" applyFill="1" applyBorder="1" applyAlignment="1">
      <alignment horizontal="center" vertical="center" wrapText="1"/>
    </xf>
    <xf numFmtId="0" fontId="22" fillId="2" borderId="11" xfId="0" applyFont="1" applyFill="1" applyBorder="1" applyAlignment="1">
      <alignment horizontal="right" vertical="center" wrapText="1"/>
    </xf>
    <xf numFmtId="0" fontId="12" fillId="2" borderId="11" xfId="3" applyFont="1" applyFill="1" applyBorder="1" applyAlignment="1">
      <alignment horizontal="center" wrapText="1"/>
    </xf>
    <xf numFmtId="165" fontId="10" fillId="2" borderId="11" xfId="1" applyNumberFormat="1" applyFont="1" applyFill="1" applyBorder="1" applyAlignment="1">
      <alignment horizontal="right" vertical="center" wrapText="1"/>
    </xf>
    <xf numFmtId="0" fontId="17" fillId="2" borderId="13" xfId="3" applyFont="1" applyFill="1" applyBorder="1" applyAlignment="1">
      <alignment horizontal="center" vertical="center" wrapText="1"/>
    </xf>
    <xf numFmtId="169" fontId="22" fillId="2" borderId="11" xfId="1" applyNumberFormat="1" applyFont="1" applyFill="1" applyBorder="1" applyAlignment="1">
      <alignment horizontal="center" vertical="center" wrapText="1"/>
    </xf>
    <xf numFmtId="0" fontId="15" fillId="2" borderId="11" xfId="0" applyFont="1" applyFill="1" applyBorder="1" applyAlignment="1">
      <alignment horizontal="left" vertical="center" wrapText="1"/>
    </xf>
    <xf numFmtId="0" fontId="17" fillId="2" borderId="0" xfId="0" applyFont="1" applyFill="1" applyBorder="1" applyAlignment="1">
      <alignment horizontal="center" vertical="center" wrapText="1"/>
    </xf>
    <xf numFmtId="0" fontId="17" fillId="2" borderId="0" xfId="0" quotePrefix="1" applyFont="1" applyFill="1" applyBorder="1" applyAlignment="1">
      <alignment horizontal="center" vertical="center" wrapText="1"/>
    </xf>
    <xf numFmtId="0" fontId="26" fillId="0" borderId="0" xfId="0" applyFont="1"/>
    <xf numFmtId="0" fontId="6" fillId="0" borderId="11" xfId="0" applyFont="1" applyFill="1" applyBorder="1" applyAlignment="1">
      <alignment horizontal="center" vertical="center" wrapText="1"/>
    </xf>
    <xf numFmtId="0" fontId="43" fillId="0" borderId="11" xfId="0" applyFont="1" applyFill="1" applyBorder="1" applyAlignment="1">
      <alignment horizontal="center" vertical="center" wrapText="1"/>
    </xf>
    <xf numFmtId="0" fontId="6" fillId="0" borderId="12" xfId="0" applyFont="1" applyFill="1" applyBorder="1" applyAlignment="1">
      <alignment vertical="center" wrapText="1"/>
    </xf>
    <xf numFmtId="0" fontId="6" fillId="0" borderId="11" xfId="0" applyFont="1" applyFill="1" applyBorder="1" applyAlignment="1">
      <alignment vertical="center" wrapText="1"/>
    </xf>
    <xf numFmtId="0" fontId="6" fillId="0" borderId="13" xfId="0" applyFont="1" applyFill="1" applyBorder="1" applyAlignment="1">
      <alignment vertical="center" wrapText="1"/>
    </xf>
    <xf numFmtId="9" fontId="44" fillId="0" borderId="11" xfId="0" applyNumberFormat="1" applyFont="1" applyFill="1" applyBorder="1" applyAlignment="1">
      <alignment horizontal="center" vertical="center" wrapText="1"/>
    </xf>
    <xf numFmtId="165" fontId="16" fillId="0" borderId="11" xfId="0" applyNumberFormat="1" applyFont="1" applyFill="1" applyBorder="1" applyAlignment="1">
      <alignment horizontal="center" vertical="center" wrapText="1"/>
    </xf>
    <xf numFmtId="3" fontId="6"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1" xfId="0" applyFont="1" applyFill="1" applyBorder="1" applyAlignment="1">
      <alignment vertical="center" wrapText="1"/>
    </xf>
    <xf numFmtId="0" fontId="46" fillId="0" borderId="11" xfId="0" applyFont="1" applyFill="1" applyBorder="1" applyAlignment="1">
      <alignment vertical="center" wrapText="1"/>
    </xf>
    <xf numFmtId="166" fontId="45" fillId="0" borderId="11" xfId="1" applyNumberFormat="1" applyFont="1" applyFill="1" applyBorder="1" applyAlignment="1">
      <alignment horizontal="right" vertical="center" wrapText="1"/>
    </xf>
    <xf numFmtId="165" fontId="45" fillId="0" borderId="11" xfId="1" applyNumberFormat="1" applyFont="1" applyFill="1" applyBorder="1" applyAlignment="1">
      <alignment horizontal="right" vertical="center" wrapText="1"/>
    </xf>
    <xf numFmtId="165" fontId="47" fillId="0" borderId="11" xfId="1" applyNumberFormat="1" applyFont="1" applyFill="1" applyBorder="1" applyAlignment="1">
      <alignment horizontal="right" vertical="center" wrapText="1"/>
    </xf>
    <xf numFmtId="165" fontId="48" fillId="0" borderId="11" xfId="0" applyNumberFormat="1" applyFont="1" applyFill="1" applyBorder="1" applyAlignment="1">
      <alignment vertical="center" wrapText="1"/>
    </xf>
    <xf numFmtId="0" fontId="27" fillId="0" borderId="11" xfId="0" applyFont="1" applyFill="1" applyBorder="1" applyAlignment="1">
      <alignment horizontal="center" vertical="center" wrapText="1"/>
    </xf>
    <xf numFmtId="0" fontId="27" fillId="0" borderId="11" xfId="0" applyFont="1" applyFill="1" applyBorder="1" applyAlignment="1">
      <alignment vertical="center" wrapText="1"/>
    </xf>
    <xf numFmtId="164" fontId="27" fillId="0" borderId="11" xfId="1" applyNumberFormat="1" applyFont="1" applyFill="1" applyBorder="1" applyAlignment="1">
      <alignment horizontal="right" vertical="center" wrapText="1"/>
    </xf>
    <xf numFmtId="165" fontId="27" fillId="0" borderId="11" xfId="1" applyNumberFormat="1" applyFont="1" applyFill="1" applyBorder="1" applyAlignment="1">
      <alignment horizontal="right" vertical="center" wrapText="1"/>
    </xf>
    <xf numFmtId="9" fontId="28" fillId="0" borderId="11" xfId="2" applyFont="1" applyFill="1" applyBorder="1" applyAlignment="1">
      <alignment horizontal="right" vertical="center" wrapText="1"/>
    </xf>
    <xf numFmtId="165" fontId="50" fillId="0" borderId="11"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14" fillId="0" borderId="11" xfId="0" applyFont="1" applyFill="1" applyBorder="1" applyAlignment="1">
      <alignment vertical="center" wrapText="1"/>
    </xf>
    <xf numFmtId="164" fontId="6" fillId="0" borderId="11" xfId="1" applyNumberFormat="1" applyFont="1" applyFill="1" applyBorder="1" applyAlignment="1">
      <alignment horizontal="right" vertical="center" wrapText="1"/>
    </xf>
    <xf numFmtId="165" fontId="6" fillId="0" borderId="11" xfId="1" applyNumberFormat="1" applyFont="1" applyFill="1" applyBorder="1" applyAlignment="1">
      <alignment horizontal="right" vertical="center" wrapText="1"/>
    </xf>
    <xf numFmtId="9" fontId="16" fillId="0" borderId="11" xfId="2" applyFont="1" applyFill="1" applyBorder="1" applyAlignment="1">
      <alignment horizontal="right" vertical="center" wrapText="1"/>
    </xf>
    <xf numFmtId="164" fontId="28" fillId="0" borderId="11" xfId="1" applyNumberFormat="1" applyFont="1" applyFill="1" applyBorder="1" applyAlignment="1">
      <alignment horizontal="right" vertical="center" wrapText="1"/>
    </xf>
    <xf numFmtId="165" fontId="28" fillId="0" borderId="11" xfId="1" applyNumberFormat="1" applyFont="1" applyFill="1" applyBorder="1" applyAlignment="1">
      <alignment horizontal="right" vertical="center" wrapText="1"/>
    </xf>
    <xf numFmtId="165" fontId="13" fillId="0" borderId="11" xfId="0" applyNumberFormat="1" applyFont="1" applyFill="1" applyBorder="1" applyAlignment="1">
      <alignment vertical="center" wrapText="1"/>
    </xf>
    <xf numFmtId="165" fontId="52" fillId="0" borderId="11" xfId="0" applyNumberFormat="1" applyFont="1" applyFill="1" applyBorder="1" applyAlignment="1">
      <alignment horizontal="center" vertical="center" wrapText="1"/>
    </xf>
    <xf numFmtId="164" fontId="27" fillId="0" borderId="11" xfId="1" applyNumberFormat="1" applyFont="1" applyFill="1" applyBorder="1" applyAlignment="1">
      <alignment vertical="center" wrapText="1"/>
    </xf>
    <xf numFmtId="0" fontId="16" fillId="0" borderId="0" xfId="0" applyFont="1" applyFill="1" applyBorder="1" applyAlignment="1">
      <alignment vertical="center" wrapText="1"/>
    </xf>
    <xf numFmtId="0" fontId="13" fillId="0" borderId="0" xfId="0" applyFont="1" applyFill="1" applyAlignment="1">
      <alignment vertical="center" wrapText="1"/>
    </xf>
    <xf numFmtId="0" fontId="13" fillId="0" borderId="0" xfId="0" applyFont="1" applyFill="1" applyBorder="1" applyAlignment="1">
      <alignment vertical="center" wrapText="1"/>
    </xf>
    <xf numFmtId="0" fontId="29" fillId="0" borderId="0" xfId="0" applyFont="1" applyFill="1" applyBorder="1" applyAlignment="1">
      <alignment horizontal="right" vertical="center" wrapText="1"/>
    </xf>
    <xf numFmtId="165" fontId="16" fillId="0" borderId="0" xfId="0" applyNumberFormat="1" applyFont="1" applyFill="1" applyBorder="1" applyAlignment="1">
      <alignment horizontal="right" vertical="center" wrapText="1"/>
    </xf>
    <xf numFmtId="0" fontId="16" fillId="0" borderId="0" xfId="0" applyFont="1" applyFill="1" applyBorder="1" applyAlignment="1">
      <alignment horizontal="center" vertical="center" wrapText="1"/>
    </xf>
    <xf numFmtId="0" fontId="16" fillId="0" borderId="0" xfId="0" applyFont="1" applyFill="1" applyBorder="1" applyAlignment="1">
      <alignment horizontal="right" vertical="center" wrapText="1"/>
    </xf>
    <xf numFmtId="0" fontId="6" fillId="0" borderId="0" xfId="0" applyFont="1" applyFill="1" applyBorder="1" applyAlignment="1">
      <alignment vertical="center" wrapText="1"/>
    </xf>
    <xf numFmtId="0" fontId="16" fillId="0" borderId="11" xfId="0" applyFont="1" applyFill="1" applyBorder="1" applyAlignment="1">
      <alignment horizontal="center" vertical="center" wrapText="1"/>
    </xf>
    <xf numFmtId="0" fontId="10" fillId="2" borderId="11" xfId="0" applyFont="1" applyFill="1" applyBorder="1" applyAlignment="1">
      <alignment horizontal="center" vertical="center" wrapText="1"/>
    </xf>
    <xf numFmtId="164" fontId="10" fillId="2" borderId="6" xfId="1" applyNumberFormat="1" applyFont="1" applyFill="1" applyBorder="1" applyAlignment="1">
      <alignment vertical="center" wrapText="1"/>
    </xf>
    <xf numFmtId="0" fontId="3" fillId="2" borderId="0" xfId="3" applyFont="1" applyFill="1" applyBorder="1"/>
    <xf numFmtId="0" fontId="4" fillId="2" borderId="0" xfId="3" applyFont="1" applyFill="1" applyBorder="1"/>
    <xf numFmtId="0" fontId="4" fillId="2" borderId="0" xfId="3" applyFont="1" applyFill="1" applyBorder="1" applyAlignment="1">
      <alignment vertical="center"/>
    </xf>
    <xf numFmtId="0" fontId="13" fillId="2" borderId="0" xfId="3" applyFont="1" applyFill="1" applyBorder="1" applyAlignment="1">
      <alignment horizontal="center" vertical="center" wrapText="1"/>
    </xf>
    <xf numFmtId="0" fontId="12" fillId="2" borderId="0" xfId="3" applyFont="1" applyFill="1" applyBorder="1" applyAlignment="1">
      <alignment horizontal="center" vertical="center" wrapText="1"/>
    </xf>
    <xf numFmtId="0" fontId="18" fillId="2" borderId="0" xfId="3" applyFont="1" applyFill="1" applyBorder="1" applyAlignment="1">
      <alignment horizontal="center" vertical="center"/>
    </xf>
    <xf numFmtId="0" fontId="23" fillId="2" borderId="0" xfId="3" applyFont="1" applyFill="1" applyBorder="1" applyAlignment="1">
      <alignment horizontal="center" vertical="center" wrapText="1"/>
    </xf>
    <xf numFmtId="0" fontId="22" fillId="2" borderId="0" xfId="3" applyFont="1" applyFill="1" applyBorder="1" applyAlignment="1">
      <alignment horizontal="center" vertical="center" wrapText="1"/>
    </xf>
    <xf numFmtId="0" fontId="27" fillId="3" borderId="0" xfId="3" applyFont="1" applyFill="1" applyBorder="1" applyAlignment="1">
      <alignment horizontal="center" vertical="center" wrapText="1"/>
    </xf>
    <xf numFmtId="0" fontId="17" fillId="2" borderId="0" xfId="0" applyFont="1" applyFill="1" applyBorder="1" applyAlignment="1">
      <alignment horizontal="center" vertical="center" wrapText="1"/>
    </xf>
    <xf numFmtId="0" fontId="22" fillId="2" borderId="0" xfId="0" applyFont="1" applyFill="1" applyBorder="1" applyAlignment="1">
      <alignment vertical="center" wrapText="1"/>
    </xf>
    <xf numFmtId="0" fontId="17" fillId="2" borderId="0" xfId="0" applyFont="1" applyFill="1" applyBorder="1" applyAlignment="1">
      <alignment vertical="center" wrapText="1"/>
    </xf>
    <xf numFmtId="0" fontId="12" fillId="2" borderId="7" xfId="0" applyFont="1" applyFill="1" applyBorder="1" applyAlignment="1">
      <alignment horizontal="right" vertical="center" wrapText="1"/>
    </xf>
    <xf numFmtId="165" fontId="38" fillId="2" borderId="7" xfId="1" applyNumberFormat="1" applyFont="1" applyFill="1" applyBorder="1" applyAlignment="1">
      <alignment horizontal="center" vertical="center" wrapText="1"/>
    </xf>
    <xf numFmtId="164" fontId="10" fillId="2" borderId="7" xfId="1" applyNumberFormat="1" applyFont="1" applyFill="1" applyBorder="1" applyAlignment="1">
      <alignment horizontal="center" vertical="center" wrapText="1"/>
    </xf>
    <xf numFmtId="0" fontId="38" fillId="2" borderId="7"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164" fontId="15" fillId="2" borderId="8" xfId="1" applyNumberFormat="1" applyFont="1" applyFill="1" applyBorder="1" applyAlignment="1">
      <alignment horizontal="center" vertical="center" wrapText="1"/>
    </xf>
    <xf numFmtId="0" fontId="53" fillId="0" borderId="11" xfId="0" applyFont="1" applyBorder="1"/>
    <xf numFmtId="164" fontId="16" fillId="0" borderId="11" xfId="1" applyNumberFormat="1" applyFont="1" applyFill="1" applyBorder="1" applyAlignment="1">
      <alignment horizontal="right" vertical="center" wrapText="1"/>
    </xf>
    <xf numFmtId="165" fontId="16" fillId="0" borderId="11" xfId="1" applyNumberFormat="1" applyFont="1" applyFill="1" applyBorder="1" applyAlignment="1">
      <alignment horizontal="right" vertical="center" wrapText="1"/>
    </xf>
    <xf numFmtId="0" fontId="6" fillId="0" borderId="2" xfId="0" applyFont="1" applyFill="1" applyBorder="1" applyAlignment="1">
      <alignment horizontal="center" vertical="center" wrapText="1"/>
    </xf>
    <xf numFmtId="165" fontId="26" fillId="0" borderId="0" xfId="1" applyNumberFormat="1" applyFont="1"/>
    <xf numFmtId="0" fontId="12" fillId="2" borderId="11" xfId="0" applyFont="1" applyFill="1" applyBorder="1" applyAlignment="1">
      <alignment horizontal="right" vertical="center" wrapText="1"/>
    </xf>
    <xf numFmtId="165" fontId="10" fillId="2" borderId="2" xfId="3" applyNumberFormat="1" applyFont="1" applyFill="1" applyBorder="1" applyAlignment="1">
      <alignment vertical="center" wrapText="1"/>
    </xf>
    <xf numFmtId="0" fontId="22" fillId="2" borderId="11" xfId="3" applyFont="1" applyFill="1" applyBorder="1" applyAlignment="1">
      <alignment horizontal="center" vertical="center" wrapText="1"/>
    </xf>
    <xf numFmtId="0" fontId="12" fillId="2" borderId="11" xfId="3" applyFont="1" applyFill="1" applyBorder="1" applyAlignment="1">
      <alignment horizontal="center" vertical="center" wrapText="1"/>
    </xf>
    <xf numFmtId="0" fontId="6" fillId="0" borderId="11" xfId="4" applyFont="1" applyBorder="1" applyAlignment="1">
      <alignment horizontal="center" vertical="center" wrapText="1"/>
    </xf>
    <xf numFmtId="0" fontId="6" fillId="0" borderId="11" xfId="5" applyFont="1" applyBorder="1" applyAlignment="1">
      <alignment vertical="center" wrapText="1"/>
    </xf>
    <xf numFmtId="1" fontId="27" fillId="0" borderId="11" xfId="0" applyNumberFormat="1" applyFont="1" applyFill="1" applyBorder="1" applyAlignment="1">
      <alignment vertical="center" wrapText="1"/>
    </xf>
    <xf numFmtId="166" fontId="27" fillId="0" borderId="11" xfId="1" applyNumberFormat="1" applyFont="1" applyFill="1" applyBorder="1" applyAlignment="1">
      <alignment horizontal="right" vertical="center" wrapText="1"/>
    </xf>
    <xf numFmtId="165" fontId="27" fillId="0" borderId="11" xfId="1" applyNumberFormat="1" applyFont="1" applyFill="1" applyBorder="1" applyAlignment="1">
      <alignment horizontal="center" vertical="center" wrapText="1"/>
    </xf>
    <xf numFmtId="0" fontId="27" fillId="0" borderId="11" xfId="4" applyFont="1" applyBorder="1" applyAlignment="1">
      <alignment horizontal="center" vertical="center" wrapText="1"/>
    </xf>
    <xf numFmtId="0" fontId="0" fillId="0" borderId="0" xfId="0" applyFont="1"/>
    <xf numFmtId="0" fontId="27" fillId="0" borderId="11" xfId="5" applyFont="1" applyBorder="1" applyAlignment="1">
      <alignment vertical="center" wrapText="1"/>
    </xf>
    <xf numFmtId="1" fontId="6" fillId="0" borderId="11" xfId="0" applyNumberFormat="1" applyFont="1" applyFill="1" applyBorder="1" applyAlignment="1">
      <alignment vertical="center" wrapText="1"/>
    </xf>
    <xf numFmtId="166" fontId="6" fillId="0" borderId="11" xfId="1" applyNumberFormat="1" applyFont="1" applyFill="1" applyBorder="1" applyAlignment="1">
      <alignment horizontal="right" vertical="center" wrapText="1"/>
    </xf>
    <xf numFmtId="165" fontId="6" fillId="0" borderId="11" xfId="1" applyNumberFormat="1" applyFont="1" applyFill="1" applyBorder="1" applyAlignment="1">
      <alignment horizontal="center" vertical="center" wrapText="1"/>
    </xf>
    <xf numFmtId="0" fontId="57" fillId="0" borderId="0" xfId="0" applyFont="1"/>
    <xf numFmtId="0" fontId="54" fillId="0" borderId="0" xfId="0" applyFont="1"/>
    <xf numFmtId="165" fontId="56" fillId="0" borderId="11" xfId="0" applyNumberFormat="1" applyFont="1" applyFill="1" applyBorder="1" applyAlignment="1">
      <alignment horizontal="center" vertical="center" wrapText="1"/>
    </xf>
    <xf numFmtId="0" fontId="22" fillId="2" borderId="11" xfId="0" applyFont="1" applyFill="1" applyBorder="1" applyAlignment="1">
      <alignment horizontal="left" vertical="center" wrapText="1"/>
    </xf>
    <xf numFmtId="164" fontId="6" fillId="0" borderId="11" xfId="1" applyNumberFormat="1" applyFont="1" applyFill="1" applyBorder="1" applyAlignment="1">
      <alignment vertical="center" wrapText="1"/>
    </xf>
    <xf numFmtId="43" fontId="27" fillId="0" borderId="11" xfId="1" applyNumberFormat="1" applyFont="1" applyFill="1" applyBorder="1" applyAlignment="1">
      <alignment horizontal="right" vertical="center" wrapText="1"/>
    </xf>
    <xf numFmtId="164" fontId="28" fillId="2" borderId="11" xfId="1" applyNumberFormat="1" applyFont="1" applyFill="1" applyBorder="1" applyAlignment="1">
      <alignment horizontal="right" vertical="center" wrapText="1"/>
    </xf>
    <xf numFmtId="165" fontId="28" fillId="2" borderId="11" xfId="1" applyNumberFormat="1" applyFont="1" applyFill="1" applyBorder="1" applyAlignment="1">
      <alignment horizontal="right" vertical="center" wrapText="1"/>
    </xf>
    <xf numFmtId="9" fontId="28" fillId="2" borderId="11" xfId="2" applyFont="1" applyFill="1" applyBorder="1" applyAlignment="1">
      <alignment horizontal="right" vertical="center" wrapText="1"/>
    </xf>
    <xf numFmtId="0" fontId="26" fillId="2" borderId="0" xfId="0" applyFont="1" applyFill="1"/>
    <xf numFmtId="0" fontId="0" fillId="2" borderId="0" xfId="0" applyFill="1"/>
    <xf numFmtId="0" fontId="6" fillId="2" borderId="11" xfId="0" applyFont="1" applyFill="1" applyBorder="1" applyAlignment="1">
      <alignment horizontal="center" vertical="center" wrapText="1"/>
    </xf>
    <xf numFmtId="0" fontId="6" fillId="2" borderId="12" xfId="0" applyFont="1" applyFill="1" applyBorder="1" applyAlignment="1">
      <alignment vertical="center" wrapText="1"/>
    </xf>
    <xf numFmtId="0" fontId="6" fillId="2" borderId="11" xfId="0" applyFont="1" applyFill="1" applyBorder="1" applyAlignment="1">
      <alignment vertical="center" wrapText="1"/>
    </xf>
    <xf numFmtId="0" fontId="16" fillId="2" borderId="11" xfId="0" applyFont="1" applyFill="1" applyBorder="1" applyAlignment="1">
      <alignment vertical="center" wrapText="1"/>
    </xf>
    <xf numFmtId="0" fontId="16" fillId="2" borderId="13" xfId="0" applyFont="1" applyFill="1" applyBorder="1" applyAlignment="1">
      <alignment vertical="center" wrapText="1"/>
    </xf>
    <xf numFmtId="165" fontId="16" fillId="2" borderId="11" xfId="1" applyNumberFormat="1" applyFont="1" applyFill="1" applyBorder="1" applyAlignment="1">
      <alignment horizontal="right" vertical="center" wrapText="1"/>
    </xf>
    <xf numFmtId="165" fontId="13" fillId="2" borderId="11" xfId="0" applyNumberFormat="1" applyFont="1" applyFill="1" applyBorder="1" applyAlignment="1">
      <alignment vertical="center" wrapText="1"/>
    </xf>
    <xf numFmtId="165" fontId="52" fillId="2" borderId="0" xfId="1" applyNumberFormat="1" applyFont="1" applyFill="1"/>
    <xf numFmtId="0" fontId="52" fillId="2" borderId="0" xfId="0" applyFont="1" applyFill="1"/>
    <xf numFmtId="0" fontId="58" fillId="2" borderId="0" xfId="0" applyFont="1" applyFill="1"/>
    <xf numFmtId="9" fontId="44" fillId="2" borderId="11" xfId="0" applyNumberFormat="1" applyFont="1" applyFill="1" applyBorder="1" applyAlignment="1">
      <alignment horizontal="center" vertical="center" wrapText="1"/>
    </xf>
    <xf numFmtId="165" fontId="16" fillId="2" borderId="11" xfId="0" applyNumberFormat="1" applyFont="1" applyFill="1" applyBorder="1" applyAlignment="1">
      <alignment horizontal="center" vertical="center" wrapText="1"/>
    </xf>
    <xf numFmtId="3" fontId="6" fillId="2" borderId="11" xfId="0" applyNumberFormat="1" applyFont="1" applyFill="1" applyBorder="1" applyAlignment="1">
      <alignment horizontal="right" vertical="center" wrapText="1"/>
    </xf>
    <xf numFmtId="0" fontId="44" fillId="2" borderId="11" xfId="0" applyFont="1" applyFill="1" applyBorder="1" applyAlignment="1">
      <alignment horizontal="center" vertical="center" wrapText="1"/>
    </xf>
    <xf numFmtId="0" fontId="21" fillId="2" borderId="2" xfId="3" applyFont="1" applyFill="1" applyBorder="1" applyAlignment="1">
      <alignment horizontal="center" vertical="center" wrapText="1"/>
    </xf>
    <xf numFmtId="0" fontId="21" fillId="2" borderId="6" xfId="3" applyFont="1" applyFill="1" applyBorder="1" applyAlignment="1">
      <alignment horizontal="center" vertical="center" wrapText="1"/>
    </xf>
    <xf numFmtId="0" fontId="21" fillId="2" borderId="10" xfId="3" applyFont="1" applyFill="1" applyBorder="1" applyAlignment="1">
      <alignment horizontal="center" vertical="center" wrapText="1"/>
    </xf>
    <xf numFmtId="164" fontId="10" fillId="2" borderId="2" xfId="1" applyNumberFormat="1" applyFont="1" applyFill="1" applyBorder="1" applyAlignment="1">
      <alignment horizontal="center" vertical="center" wrapText="1"/>
    </xf>
    <xf numFmtId="164" fontId="10" fillId="2" borderId="6" xfId="1" applyNumberFormat="1" applyFont="1" applyFill="1" applyBorder="1" applyAlignment="1">
      <alignment horizontal="center" vertical="center" wrapText="1"/>
    </xf>
    <xf numFmtId="164" fontId="10" fillId="2" borderId="10" xfId="1" applyNumberFormat="1" applyFont="1" applyFill="1" applyBorder="1" applyAlignment="1">
      <alignment horizontal="center" vertical="center" wrapText="1"/>
    </xf>
    <xf numFmtId="165" fontId="10" fillId="2" borderId="2" xfId="3" applyNumberFormat="1" applyFont="1" applyFill="1" applyBorder="1" applyAlignment="1">
      <alignment horizontal="center" vertical="center" wrapText="1"/>
    </xf>
    <xf numFmtId="165" fontId="10" fillId="2" borderId="6" xfId="3" applyNumberFormat="1" applyFont="1" applyFill="1" applyBorder="1" applyAlignment="1">
      <alignment horizontal="center" vertical="center" wrapText="1"/>
    </xf>
    <xf numFmtId="165" fontId="10" fillId="2" borderId="10" xfId="3" applyNumberFormat="1" applyFont="1" applyFill="1" applyBorder="1" applyAlignment="1">
      <alignment horizontal="center" vertical="center" wrapText="1"/>
    </xf>
    <xf numFmtId="164" fontId="10" fillId="2" borderId="11" xfId="1" applyNumberFormat="1" applyFont="1" applyFill="1" applyBorder="1" applyAlignment="1">
      <alignment horizontal="center" vertical="center" wrapText="1"/>
    </xf>
    <xf numFmtId="165" fontId="10" fillId="2" borderId="11" xfId="3" applyNumberFormat="1"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0" xfId="0" quotePrefix="1" applyFont="1" applyFill="1" applyBorder="1" applyAlignment="1">
      <alignment horizontal="center" vertical="center" wrapText="1"/>
    </xf>
    <xf numFmtId="0" fontId="22" fillId="2" borderId="2" xfId="0" applyFont="1" applyFill="1" applyBorder="1" applyAlignment="1">
      <alignment horizontal="center" vertical="center"/>
    </xf>
    <xf numFmtId="0" fontId="22" fillId="2" borderId="10" xfId="0" applyFont="1" applyFill="1" applyBorder="1" applyAlignment="1">
      <alignment horizontal="center" vertical="center"/>
    </xf>
    <xf numFmtId="0" fontId="22" fillId="2" borderId="2"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0" xfId="0" applyFont="1" applyFill="1" applyBorder="1" applyAlignment="1">
      <alignment horizontal="center" vertical="center" wrapText="1"/>
    </xf>
    <xf numFmtId="167" fontId="22" fillId="2" borderId="2" xfId="1" applyNumberFormat="1" applyFont="1" applyFill="1" applyBorder="1" applyAlignment="1">
      <alignment horizontal="center" vertical="center"/>
    </xf>
    <xf numFmtId="167" fontId="22" fillId="2" borderId="10" xfId="1" applyNumberFormat="1" applyFont="1" applyFill="1" applyBorder="1" applyAlignment="1">
      <alignment horizontal="center" vertical="center"/>
    </xf>
    <xf numFmtId="166" fontId="22" fillId="2" borderId="2" xfId="0" applyNumberFormat="1" applyFont="1" applyFill="1" applyBorder="1" applyAlignment="1">
      <alignment horizontal="center" vertical="center"/>
    </xf>
    <xf numFmtId="166" fontId="22" fillId="2" borderId="10" xfId="0" applyNumberFormat="1" applyFont="1" applyFill="1" applyBorder="1" applyAlignment="1">
      <alignment horizontal="center" vertical="center"/>
    </xf>
    <xf numFmtId="164" fontId="22" fillId="2" borderId="2" xfId="3" applyNumberFormat="1" applyFont="1" applyFill="1" applyBorder="1" applyAlignment="1">
      <alignment horizontal="center" vertical="center" wrapText="1"/>
    </xf>
    <xf numFmtId="164" fontId="22" fillId="2" borderId="10" xfId="3" applyNumberFormat="1" applyFont="1" applyFill="1" applyBorder="1" applyAlignment="1">
      <alignment horizontal="center" vertical="center" wrapText="1"/>
    </xf>
    <xf numFmtId="165" fontId="8" fillId="2" borderId="4" xfId="1" applyNumberFormat="1" applyFont="1" applyFill="1" applyBorder="1" applyAlignment="1">
      <alignment horizontal="center" vertical="center" wrapText="1"/>
    </xf>
    <xf numFmtId="165" fontId="8" fillId="2" borderId="3" xfId="1" applyNumberFormat="1" applyFont="1" applyFill="1" applyBorder="1" applyAlignment="1">
      <alignment horizontal="center" vertical="center" wrapText="1"/>
    </xf>
    <xf numFmtId="165" fontId="8" fillId="2" borderId="8" xfId="1" applyNumberFormat="1" applyFont="1" applyFill="1" applyBorder="1" applyAlignment="1">
      <alignment horizontal="center" vertical="center" wrapText="1"/>
    </xf>
    <xf numFmtId="165" fontId="8" fillId="2" borderId="9" xfId="1" applyNumberFormat="1" applyFont="1" applyFill="1" applyBorder="1" applyAlignment="1">
      <alignment horizontal="center" vertical="center" wrapText="1"/>
    </xf>
    <xf numFmtId="165" fontId="8" fillId="2" borderId="2" xfId="1" applyNumberFormat="1" applyFont="1" applyFill="1" applyBorder="1" applyAlignment="1">
      <alignment horizontal="center" vertical="center" wrapText="1"/>
    </xf>
    <xf numFmtId="165" fontId="8" fillId="2" borderId="6" xfId="1" applyNumberFormat="1" applyFont="1" applyFill="1" applyBorder="1" applyAlignment="1">
      <alignment horizontal="center" vertical="center" wrapText="1"/>
    </xf>
    <xf numFmtId="165" fontId="8" fillId="2" borderId="10" xfId="1" applyNumberFormat="1" applyFont="1" applyFill="1" applyBorder="1" applyAlignment="1">
      <alignment horizontal="center" vertical="center" wrapText="1"/>
    </xf>
    <xf numFmtId="166" fontId="8" fillId="2" borderId="4" xfId="0" applyNumberFormat="1" applyFont="1" applyFill="1" applyBorder="1" applyAlignment="1">
      <alignment horizontal="center" vertical="center" wrapText="1"/>
    </xf>
    <xf numFmtId="166" fontId="8" fillId="2" borderId="5" xfId="0" applyNumberFormat="1" applyFont="1" applyFill="1" applyBorder="1" applyAlignment="1">
      <alignment horizontal="center" vertical="center" wrapText="1"/>
    </xf>
    <xf numFmtId="166" fontId="8" fillId="2" borderId="3" xfId="0" applyNumberFormat="1" applyFont="1" applyFill="1" applyBorder="1" applyAlignment="1">
      <alignment horizontal="center" vertical="center" wrapText="1"/>
    </xf>
    <xf numFmtId="166" fontId="8" fillId="2" borderId="8" xfId="0" applyNumberFormat="1" applyFont="1" applyFill="1" applyBorder="1" applyAlignment="1">
      <alignment horizontal="center" vertical="center" wrapText="1"/>
    </xf>
    <xf numFmtId="166" fontId="8" fillId="2" borderId="1" xfId="0" applyNumberFormat="1" applyFont="1" applyFill="1" applyBorder="1" applyAlignment="1">
      <alignment horizontal="center" vertical="center" wrapText="1"/>
    </xf>
    <xf numFmtId="166" fontId="8" fillId="2" borderId="9" xfId="0" applyNumberFormat="1" applyFont="1" applyFill="1" applyBorder="1" applyAlignment="1">
      <alignment horizontal="center" vertical="center" wrapText="1"/>
    </xf>
    <xf numFmtId="3" fontId="8" fillId="2" borderId="4" xfId="0" applyNumberFormat="1" applyFont="1" applyFill="1" applyBorder="1" applyAlignment="1">
      <alignment horizontal="center" vertical="center" wrapText="1"/>
    </xf>
    <xf numFmtId="3" fontId="8" fillId="2" borderId="5" xfId="0" applyNumberFormat="1" applyFont="1" applyFill="1" applyBorder="1" applyAlignment="1">
      <alignment horizontal="center" vertical="center" wrapText="1"/>
    </xf>
    <xf numFmtId="3" fontId="8" fillId="2" borderId="3" xfId="0" applyNumberFormat="1" applyFont="1" applyFill="1" applyBorder="1" applyAlignment="1">
      <alignment horizontal="center" vertical="center" wrapText="1"/>
    </xf>
    <xf numFmtId="3" fontId="8" fillId="2" borderId="8" xfId="0" applyNumberFormat="1" applyFont="1" applyFill="1" applyBorder="1" applyAlignment="1">
      <alignment horizontal="center" vertical="center" wrapText="1"/>
    </xf>
    <xf numFmtId="3" fontId="8" fillId="2" borderId="1" xfId="0" applyNumberFormat="1" applyFont="1" applyFill="1" applyBorder="1" applyAlignment="1">
      <alignment horizontal="center" vertical="center" wrapText="1"/>
    </xf>
    <xf numFmtId="3" fontId="8" fillId="2" borderId="9" xfId="0" applyNumberFormat="1" applyFont="1" applyFill="1" applyBorder="1" applyAlignment="1">
      <alignment horizontal="center" vertical="center" wrapText="1"/>
    </xf>
    <xf numFmtId="3" fontId="8" fillId="2" borderId="2" xfId="0" applyNumberFormat="1" applyFont="1" applyFill="1" applyBorder="1" applyAlignment="1">
      <alignment horizontal="center" vertical="center" wrapText="1"/>
    </xf>
    <xf numFmtId="3" fontId="8" fillId="2" borderId="6" xfId="0" applyNumberFormat="1" applyFont="1" applyFill="1" applyBorder="1" applyAlignment="1">
      <alignment horizontal="center" vertical="center" wrapText="1"/>
    </xf>
    <xf numFmtId="3" fontId="8" fillId="2" borderId="10" xfId="0" applyNumberFormat="1" applyFont="1" applyFill="1" applyBorder="1" applyAlignment="1">
      <alignment horizontal="center" vertical="center" wrapText="1"/>
    </xf>
    <xf numFmtId="0" fontId="27" fillId="2" borderId="12" xfId="0" applyFont="1" applyFill="1" applyBorder="1" applyAlignment="1">
      <alignment horizontal="left" vertical="center" wrapText="1"/>
    </xf>
    <xf numFmtId="0" fontId="27" fillId="2" borderId="18" xfId="0" applyFont="1" applyFill="1" applyBorder="1" applyAlignment="1">
      <alignment horizontal="left" vertical="center" wrapText="1"/>
    </xf>
    <xf numFmtId="0" fontId="27" fillId="2" borderId="13" xfId="0" applyFont="1" applyFill="1" applyBorder="1" applyAlignment="1">
      <alignment horizontal="left" vertical="center" wrapText="1"/>
    </xf>
    <xf numFmtId="165" fontId="38" fillId="2" borderId="0" xfId="1" applyNumberFormat="1" applyFont="1" applyFill="1" applyBorder="1" applyAlignment="1">
      <alignment horizontal="center" vertical="center" wrapText="1"/>
    </xf>
    <xf numFmtId="0" fontId="42" fillId="2" borderId="0" xfId="0" applyFont="1" applyFill="1" applyAlignment="1">
      <alignment horizontal="center" vertical="center" wrapText="1"/>
    </xf>
    <xf numFmtId="0" fontId="22" fillId="2" borderId="0" xfId="0" applyFont="1" applyFill="1" applyAlignment="1">
      <alignment horizontal="center" vertical="center" wrapText="1"/>
    </xf>
    <xf numFmtId="0" fontId="2" fillId="2" borderId="0" xfId="3" applyFont="1" applyFill="1" applyAlignment="1">
      <alignment horizontal="center" vertical="center" wrapText="1"/>
    </xf>
    <xf numFmtId="0" fontId="38" fillId="2" borderId="0" xfId="3" applyFont="1" applyFill="1" applyAlignment="1">
      <alignment horizontal="center" vertical="center" wrapText="1"/>
    </xf>
    <xf numFmtId="0" fontId="2" fillId="2" borderId="2" xfId="3" applyFont="1" applyFill="1" applyBorder="1" applyAlignment="1">
      <alignment horizontal="center" vertical="center" wrapText="1"/>
    </xf>
    <xf numFmtId="0" fontId="2" fillId="2" borderId="6" xfId="3" applyFont="1" applyFill="1" applyBorder="1" applyAlignment="1">
      <alignment horizontal="center" vertical="center" wrapText="1"/>
    </xf>
    <xf numFmtId="0" fontId="2" fillId="2" borderId="10" xfId="3" applyFont="1" applyFill="1" applyBorder="1" applyAlignment="1">
      <alignment horizontal="center" vertical="center" wrapText="1"/>
    </xf>
    <xf numFmtId="0" fontId="8" fillId="2" borderId="3" xfId="3" applyFont="1" applyFill="1" applyBorder="1" applyAlignment="1">
      <alignment horizontal="center" vertical="center" wrapText="1"/>
    </xf>
    <xf numFmtId="0" fontId="8" fillId="2" borderId="7" xfId="3" applyFont="1" applyFill="1" applyBorder="1" applyAlignment="1">
      <alignment horizontal="center" vertical="center" wrapText="1"/>
    </xf>
    <xf numFmtId="0" fontId="8" fillId="2" borderId="9" xfId="3" applyFont="1" applyFill="1" applyBorder="1" applyAlignment="1">
      <alignment horizontal="center" vertical="center" wrapText="1"/>
    </xf>
    <xf numFmtId="0" fontId="8" fillId="2" borderId="4" xfId="3" applyFont="1" applyFill="1" applyBorder="1" applyAlignment="1">
      <alignment horizontal="center" vertical="center" wrapText="1"/>
    </xf>
    <xf numFmtId="0" fontId="8" fillId="2" borderId="5" xfId="3" applyFont="1" applyFill="1" applyBorder="1" applyAlignment="1">
      <alignment horizontal="center" vertical="center" wrapText="1"/>
    </xf>
    <xf numFmtId="0" fontId="8" fillId="2" borderId="8" xfId="3" applyFont="1" applyFill="1" applyBorder="1" applyAlignment="1">
      <alignment horizontal="center" vertical="center" wrapText="1"/>
    </xf>
    <xf numFmtId="0" fontId="8" fillId="2" borderId="1" xfId="3" applyFont="1" applyFill="1" applyBorder="1" applyAlignment="1">
      <alignment horizontal="center" vertical="center" wrapText="1"/>
    </xf>
    <xf numFmtId="0" fontId="8" fillId="2" borderId="2" xfId="3" applyFont="1" applyFill="1" applyBorder="1" applyAlignment="1">
      <alignment horizontal="center" vertical="center" wrapText="1"/>
    </xf>
    <xf numFmtId="0" fontId="8" fillId="2" borderId="10" xfId="3" applyFont="1" applyFill="1" applyBorder="1" applyAlignment="1">
      <alignment horizontal="center" vertical="center" wrapText="1"/>
    </xf>
    <xf numFmtId="164" fontId="8" fillId="2" borderId="2" xfId="1" applyNumberFormat="1" applyFont="1" applyFill="1" applyBorder="1" applyAlignment="1">
      <alignment horizontal="center" vertical="center" wrapText="1"/>
    </xf>
    <xf numFmtId="164" fontId="8" fillId="2" borderId="6" xfId="1" applyNumberFormat="1" applyFont="1" applyFill="1" applyBorder="1" applyAlignment="1">
      <alignment horizontal="center" vertical="center" wrapText="1"/>
    </xf>
    <xf numFmtId="164" fontId="8" fillId="2" borderId="10" xfId="1" applyNumberFormat="1" applyFont="1" applyFill="1" applyBorder="1" applyAlignment="1">
      <alignment horizontal="center" vertical="center" wrapText="1"/>
    </xf>
    <xf numFmtId="0" fontId="39" fillId="2" borderId="1" xfId="3" applyFont="1" applyFill="1" applyBorder="1" applyAlignment="1">
      <alignment horizontal="center" vertical="center" wrapText="1"/>
    </xf>
    <xf numFmtId="3" fontId="12" fillId="2" borderId="2" xfId="0" applyNumberFormat="1" applyFont="1" applyFill="1" applyBorder="1" applyAlignment="1">
      <alignment horizontal="center" vertical="center" wrapText="1"/>
    </xf>
    <xf numFmtId="3" fontId="12" fillId="2" borderId="6" xfId="0" applyNumberFormat="1" applyFont="1" applyFill="1" applyBorder="1" applyAlignment="1">
      <alignment horizontal="center" vertical="center" wrapText="1"/>
    </xf>
    <xf numFmtId="3" fontId="12" fillId="2" borderId="10" xfId="0" applyNumberFormat="1" applyFont="1" applyFill="1" applyBorder="1" applyAlignment="1">
      <alignment horizontal="center" vertical="center" wrapText="1"/>
    </xf>
    <xf numFmtId="0" fontId="2" fillId="2" borderId="12" xfId="3" applyFont="1" applyFill="1" applyBorder="1" applyAlignment="1">
      <alignment horizontal="left" vertical="center" wrapText="1"/>
    </xf>
    <xf numFmtId="0" fontId="2" fillId="2" borderId="13" xfId="3" applyFont="1" applyFill="1" applyBorder="1" applyAlignment="1">
      <alignment horizontal="left" vertical="center" wrapText="1"/>
    </xf>
    <xf numFmtId="1" fontId="15" fillId="2" borderId="15" xfId="0" applyNumberFormat="1" applyFont="1" applyFill="1" applyBorder="1" applyAlignment="1">
      <alignment horizontal="center" vertical="center"/>
    </xf>
    <xf numFmtId="1" fontId="15" fillId="2" borderId="10" xfId="0" applyNumberFormat="1" applyFont="1" applyFill="1" applyBorder="1" applyAlignment="1">
      <alignment horizontal="center" vertical="center"/>
    </xf>
    <xf numFmtId="167" fontId="15" fillId="2" borderId="15" xfId="1" applyNumberFormat="1" applyFont="1" applyFill="1" applyBorder="1" applyAlignment="1">
      <alignment horizontal="center" vertical="center"/>
    </xf>
    <xf numFmtId="167" fontId="15" fillId="2" borderId="10" xfId="1" applyNumberFormat="1" applyFont="1" applyFill="1" applyBorder="1" applyAlignment="1">
      <alignment horizontal="center" vertical="center"/>
    </xf>
    <xf numFmtId="0" fontId="10" fillId="2" borderId="2" xfId="3" applyFont="1" applyFill="1" applyBorder="1" applyAlignment="1">
      <alignment horizontal="center" vertical="center" wrapText="1"/>
    </xf>
    <xf numFmtId="0" fontId="10" fillId="2" borderId="6" xfId="3" applyFont="1" applyFill="1" applyBorder="1" applyAlignment="1">
      <alignment horizontal="center" vertical="center" wrapText="1"/>
    </xf>
    <xf numFmtId="0" fontId="10" fillId="2" borderId="10" xfId="3" applyFont="1" applyFill="1" applyBorder="1" applyAlignment="1">
      <alignment horizontal="center" vertical="center" wrapText="1"/>
    </xf>
    <xf numFmtId="0" fontId="8" fillId="2" borderId="11" xfId="3" applyFont="1" applyFill="1" applyBorder="1" applyAlignment="1">
      <alignment horizontal="center" vertical="center" wrapText="1"/>
    </xf>
    <xf numFmtId="3" fontId="5" fillId="2" borderId="2" xfId="0" applyNumberFormat="1" applyFont="1" applyFill="1" applyBorder="1" applyAlignment="1">
      <alignment horizontal="center" vertical="center" wrapText="1"/>
    </xf>
    <xf numFmtId="3" fontId="5" fillId="2" borderId="6" xfId="0" applyNumberFormat="1" applyFont="1" applyFill="1" applyBorder="1" applyAlignment="1">
      <alignment horizontal="center" vertical="center" wrapText="1"/>
    </xf>
    <xf numFmtId="3" fontId="5" fillId="2" borderId="10" xfId="0" applyNumberFormat="1"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Fill="1" applyBorder="1" applyAlignment="1">
      <alignment horizontal="center" vertical="center" wrapText="1"/>
    </xf>
    <xf numFmtId="0" fontId="6" fillId="0" borderId="11" xfId="0" applyFont="1" applyFill="1" applyBorder="1" applyAlignment="1">
      <alignment horizontal="left" vertical="center" wrapText="1"/>
    </xf>
    <xf numFmtId="0" fontId="6" fillId="2" borderId="12"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7" fillId="0" borderId="11" xfId="0" applyFont="1" applyFill="1" applyBorder="1" applyAlignment="1">
      <alignment horizontal="left" vertical="center" wrapText="1"/>
    </xf>
    <xf numFmtId="0" fontId="27" fillId="0" borderId="2" xfId="0" applyFont="1" applyFill="1" applyBorder="1" applyAlignment="1">
      <alignment horizontal="center" vertical="center" wrapText="1"/>
    </xf>
    <xf numFmtId="0" fontId="27" fillId="0" borderId="10" xfId="0" applyFont="1" applyFill="1" applyBorder="1" applyAlignment="1">
      <alignment horizontal="center" vertical="center" wrapText="1"/>
    </xf>
    <xf numFmtId="165" fontId="8" fillId="2" borderId="11" xfId="1" applyNumberFormat="1" applyFont="1" applyFill="1" applyBorder="1" applyAlignment="1">
      <alignment horizontal="center" vertical="center" wrapText="1"/>
    </xf>
  </cellXfs>
  <cellStyles count="6">
    <cellStyle name="Comma" xfId="1" builtinId="3"/>
    <cellStyle name="Normal" xfId="0" builtinId="0"/>
    <cellStyle name="Normal 2" xfId="5"/>
    <cellStyle name="Normal 4" xfId="3"/>
    <cellStyle name="Normal_PA trinh dat NN và mộ theo 869" xfId="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P.&#225;n%20M&#7897;%20-%20Khu%20s&#7889;%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P.A mộ (đợt 1)"/>
      <sheetName val="Thưởng mộ"/>
    </sheetNames>
    <sheetDataSet>
      <sheetData sheetId="0"/>
      <sheetData sheetId="1">
        <row r="11">
          <cell r="F11" t="str">
            <v>Mộ đã cải táng, mộ xây gạch, ốp xung quanh bằng gạch men sứ các màu, vữa mác 50, trên 400 viên , DTCĐ từ 1,5 m2  -:- 2m2</v>
          </cell>
        </row>
        <row r="12">
          <cell r="F12" t="str">
            <v>Mộ đã cải táng, mộ xây gạch, trát xung quanh vữa mác 25 đến 50, quét vôi ve xi măng, sơn,trên 800 viên , DTCĐ từ  &gt;2,5m2</v>
          </cell>
        </row>
        <row r="13">
          <cell r="F13" t="str">
            <v>Mộ chưa cải táng (mộ dài)</v>
          </cell>
        </row>
        <row r="14">
          <cell r="F14" t="str">
            <v>Mộ đã cải táng, mộ xây gạch, ốp xung quanh bằng gạch men sứ các màu, vữa mác 50, dưới 400 viên , DTCĐ  ≤ 1,5m2</v>
          </cell>
        </row>
        <row r="16">
          <cell r="F16" t="str">
            <v>Mộ đất đã cải táng</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L489"/>
  <sheetViews>
    <sheetView view="pageBreakPreview" topLeftCell="X454" zoomScale="70" zoomScaleNormal="70" zoomScaleSheetLayoutView="70" workbookViewId="0">
      <selection activeCell="AF463" sqref="AF463"/>
    </sheetView>
  </sheetViews>
  <sheetFormatPr defaultColWidth="9.140625" defaultRowHeight="20.25"/>
  <cols>
    <col min="1" max="1" width="7.28515625" style="98" customWidth="1"/>
    <col min="2" max="2" width="29.85546875" style="139" customWidth="1"/>
    <col min="3" max="3" width="9.85546875" style="103" hidden="1" customWidth="1"/>
    <col min="4" max="4" width="6.5703125" style="103" hidden="1" customWidth="1"/>
    <col min="5" max="5" width="9.7109375" style="104" hidden="1" customWidth="1"/>
    <col min="6" max="6" width="6.42578125" style="105" customWidth="1"/>
    <col min="7" max="7" width="7.42578125" style="105" customWidth="1"/>
    <col min="8" max="8" width="9.85546875" style="140" customWidth="1"/>
    <col min="9" max="9" width="7.7109375" style="105" customWidth="1"/>
    <col min="10" max="10" width="10" style="106" customWidth="1"/>
    <col min="11" max="11" width="12.42578125" style="107" customWidth="1"/>
    <col min="12" max="12" width="12.85546875" style="141" customWidth="1"/>
    <col min="13" max="13" width="12.7109375" style="141" customWidth="1"/>
    <col min="14" max="14" width="11" style="141" customWidth="1"/>
    <col min="15" max="15" width="12" style="141" customWidth="1"/>
    <col min="16" max="16" width="12.85546875" style="141" customWidth="1"/>
    <col min="17" max="17" width="12.85546875" style="142" customWidth="1"/>
    <col min="18" max="18" width="10" style="143" customWidth="1"/>
    <col min="19" max="19" width="18.85546875" style="113" customWidth="1"/>
    <col min="20" max="20" width="15.42578125" style="113" customWidth="1"/>
    <col min="21" max="21" width="20.5703125" style="100" customWidth="1"/>
    <col min="22" max="22" width="12.42578125" style="144" customWidth="1"/>
    <col min="23" max="23" width="8.7109375" style="115" customWidth="1"/>
    <col min="24" max="24" width="12.140625" style="115" customWidth="1"/>
    <col min="25" max="25" width="7.140625" style="145" customWidth="1"/>
    <col min="26" max="26" width="18.7109375" style="116" customWidth="1"/>
    <col min="27" max="27" width="16.7109375" style="116" customWidth="1"/>
    <col min="28" max="28" width="20.140625" style="116" customWidth="1"/>
    <col min="29" max="29" width="6.85546875" style="116" customWidth="1"/>
    <col min="30" max="30" width="17.42578125" style="116" customWidth="1"/>
    <col min="31" max="31" width="21.140625" style="146" customWidth="1"/>
    <col min="32" max="32" width="20.85546875" style="147" customWidth="1"/>
    <col min="33" max="33" width="21.28515625" style="150" customWidth="1"/>
    <col min="34" max="34" width="14.140625" style="1" customWidth="1"/>
    <col min="35" max="35" width="26.140625" style="1" customWidth="1"/>
    <col min="36" max="36" width="13.42578125" style="1" bestFit="1" customWidth="1"/>
    <col min="37" max="37" width="27.7109375" style="1" customWidth="1"/>
    <col min="38" max="38" width="17.85546875" style="1" customWidth="1"/>
    <col min="39" max="16384" width="9.140625" style="1"/>
  </cols>
  <sheetData>
    <row r="1" spans="1:36" ht="27" customHeight="1">
      <c r="A1" s="362" t="s">
        <v>522</v>
      </c>
      <c r="B1" s="362"/>
      <c r="C1" s="362"/>
      <c r="D1" s="362"/>
      <c r="E1" s="362"/>
      <c r="F1" s="362"/>
      <c r="G1" s="362"/>
      <c r="H1" s="362"/>
      <c r="I1" s="362"/>
      <c r="J1" s="362"/>
      <c r="K1" s="362"/>
      <c r="L1" s="362"/>
      <c r="M1" s="362"/>
      <c r="N1" s="362"/>
      <c r="O1" s="362"/>
      <c r="P1" s="362"/>
      <c r="Q1" s="362"/>
      <c r="R1" s="362"/>
      <c r="S1" s="362"/>
      <c r="T1" s="362"/>
      <c r="U1" s="362"/>
      <c r="V1" s="362"/>
      <c r="W1" s="362"/>
      <c r="X1" s="362"/>
      <c r="Y1" s="362"/>
      <c r="Z1" s="362"/>
      <c r="AA1" s="362"/>
      <c r="AB1" s="362"/>
      <c r="AC1" s="362"/>
      <c r="AD1" s="362"/>
      <c r="AE1" s="362"/>
      <c r="AF1" s="362"/>
      <c r="AG1" s="362"/>
    </row>
    <row r="2" spans="1:36" s="2" customFormat="1" ht="21.75" customHeight="1">
      <c r="A2" s="362"/>
      <c r="B2" s="362"/>
      <c r="C2" s="362"/>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c r="AE2" s="362"/>
      <c r="AF2" s="362"/>
      <c r="AG2" s="362"/>
    </row>
    <row r="3" spans="1:36" s="3" customFormat="1" ht="20.25" customHeight="1">
      <c r="A3" s="98"/>
      <c r="B3" s="363" t="s">
        <v>0</v>
      </c>
      <c r="C3" s="363"/>
      <c r="D3" s="363"/>
      <c r="E3" s="363"/>
      <c r="F3" s="363"/>
      <c r="G3" s="363"/>
      <c r="H3" s="363"/>
      <c r="I3" s="363"/>
      <c r="J3" s="363"/>
      <c r="K3" s="363"/>
      <c r="L3" s="363"/>
      <c r="M3" s="363"/>
      <c r="N3" s="363"/>
      <c r="O3" s="363"/>
      <c r="P3" s="363"/>
      <c r="Q3" s="363"/>
      <c r="R3" s="363"/>
      <c r="S3" s="363"/>
      <c r="T3" s="363"/>
      <c r="U3" s="363"/>
      <c r="V3" s="363"/>
      <c r="W3" s="363"/>
      <c r="X3" s="363"/>
      <c r="Y3" s="363"/>
      <c r="Z3" s="363"/>
      <c r="AA3" s="363"/>
      <c r="AB3" s="363"/>
      <c r="AC3" s="363"/>
      <c r="AD3" s="363"/>
      <c r="AE3" s="363"/>
      <c r="AF3" s="363"/>
      <c r="AG3" s="363"/>
    </row>
    <row r="4" spans="1:36" s="2" customFormat="1" ht="37.5" customHeight="1">
      <c r="A4" s="362" t="s">
        <v>1</v>
      </c>
      <c r="B4" s="362"/>
      <c r="C4" s="362"/>
      <c r="D4" s="362"/>
      <c r="E4" s="362"/>
      <c r="F4" s="362"/>
      <c r="G4" s="362"/>
      <c r="H4" s="362"/>
      <c r="I4" s="362"/>
      <c r="J4" s="362"/>
      <c r="K4" s="362"/>
      <c r="L4" s="362"/>
      <c r="M4" s="362"/>
      <c r="N4" s="362"/>
      <c r="O4" s="362"/>
      <c r="P4" s="362"/>
      <c r="Q4" s="362"/>
      <c r="R4" s="362"/>
      <c r="S4" s="362"/>
      <c r="T4" s="362"/>
      <c r="U4" s="362"/>
      <c r="V4" s="362"/>
      <c r="W4" s="362"/>
      <c r="X4" s="362"/>
      <c r="Y4" s="362"/>
      <c r="Z4" s="362"/>
      <c r="AA4" s="362"/>
      <c r="AB4" s="362"/>
      <c r="AC4" s="362"/>
      <c r="AD4" s="362"/>
      <c r="AE4" s="362"/>
      <c r="AF4" s="362"/>
      <c r="AG4" s="362"/>
    </row>
    <row r="5" spans="1:36" s="2" customFormat="1" ht="33.75" customHeight="1">
      <c r="A5" s="379" t="s">
        <v>518</v>
      </c>
      <c r="B5" s="379"/>
      <c r="C5" s="379"/>
      <c r="D5" s="379"/>
      <c r="E5" s="379"/>
      <c r="F5" s="379"/>
      <c r="G5" s="379"/>
      <c r="H5" s="379"/>
      <c r="I5" s="379"/>
      <c r="J5" s="379"/>
      <c r="K5" s="379"/>
      <c r="L5" s="379"/>
      <c r="M5" s="379"/>
      <c r="N5" s="379"/>
      <c r="O5" s="379"/>
      <c r="P5" s="379"/>
      <c r="Q5" s="379"/>
      <c r="R5" s="379"/>
      <c r="S5" s="379"/>
      <c r="T5" s="379"/>
      <c r="U5" s="379"/>
      <c r="V5" s="379"/>
      <c r="W5" s="379"/>
      <c r="X5" s="379"/>
      <c r="Y5" s="379"/>
      <c r="Z5" s="379"/>
      <c r="AA5" s="379"/>
      <c r="AB5" s="379"/>
      <c r="AC5" s="379"/>
      <c r="AD5" s="379"/>
      <c r="AE5" s="379"/>
      <c r="AF5" s="379"/>
      <c r="AG5" s="379"/>
    </row>
    <row r="6" spans="1:36" s="4" customFormat="1" ht="15" customHeight="1">
      <c r="A6" s="364" t="s">
        <v>2</v>
      </c>
      <c r="B6" s="367" t="s">
        <v>3</v>
      </c>
      <c r="C6" s="370" t="s">
        <v>4</v>
      </c>
      <c r="D6" s="371"/>
      <c r="E6" s="367"/>
      <c r="F6" s="370" t="s">
        <v>5</v>
      </c>
      <c r="G6" s="371"/>
      <c r="H6" s="371"/>
      <c r="I6" s="371"/>
      <c r="J6" s="367"/>
      <c r="K6" s="370" t="s">
        <v>6</v>
      </c>
      <c r="L6" s="371"/>
      <c r="M6" s="371"/>
      <c r="N6" s="367"/>
      <c r="O6" s="374" t="s">
        <v>7</v>
      </c>
      <c r="P6" s="376" t="s">
        <v>8</v>
      </c>
      <c r="Q6" s="389" t="s">
        <v>9</v>
      </c>
      <c r="R6" s="334" t="s">
        <v>10</v>
      </c>
      <c r="S6" s="335"/>
      <c r="T6" s="338" t="s">
        <v>11</v>
      </c>
      <c r="U6" s="341" t="s">
        <v>12</v>
      </c>
      <c r="V6" s="342"/>
      <c r="W6" s="342"/>
      <c r="X6" s="342"/>
      <c r="Y6" s="342"/>
      <c r="Z6" s="343"/>
      <c r="AA6" s="347" t="s">
        <v>13</v>
      </c>
      <c r="AB6" s="348"/>
      <c r="AC6" s="348"/>
      <c r="AD6" s="349"/>
      <c r="AE6" s="353" t="s">
        <v>14</v>
      </c>
      <c r="AF6" s="338" t="s">
        <v>15</v>
      </c>
      <c r="AG6" s="380" t="s">
        <v>16</v>
      </c>
    </row>
    <row r="7" spans="1:36" s="6" customFormat="1" ht="26.25" customHeight="1">
      <c r="A7" s="365"/>
      <c r="B7" s="368"/>
      <c r="C7" s="372"/>
      <c r="D7" s="373"/>
      <c r="E7" s="369"/>
      <c r="F7" s="372"/>
      <c r="G7" s="373"/>
      <c r="H7" s="373"/>
      <c r="I7" s="373"/>
      <c r="J7" s="369"/>
      <c r="K7" s="372"/>
      <c r="L7" s="373"/>
      <c r="M7" s="373"/>
      <c r="N7" s="369"/>
      <c r="O7" s="375"/>
      <c r="P7" s="377"/>
      <c r="Q7" s="390"/>
      <c r="R7" s="336"/>
      <c r="S7" s="337"/>
      <c r="T7" s="339"/>
      <c r="U7" s="344"/>
      <c r="V7" s="345"/>
      <c r="W7" s="345"/>
      <c r="X7" s="345"/>
      <c r="Y7" s="345"/>
      <c r="Z7" s="346"/>
      <c r="AA7" s="350"/>
      <c r="AB7" s="351"/>
      <c r="AC7" s="351"/>
      <c r="AD7" s="352"/>
      <c r="AE7" s="354"/>
      <c r="AF7" s="339"/>
      <c r="AG7" s="381"/>
    </row>
    <row r="8" spans="1:36" s="6" customFormat="1" ht="106.5" customHeight="1">
      <c r="A8" s="366"/>
      <c r="B8" s="369"/>
      <c r="C8" s="172" t="s">
        <v>17</v>
      </c>
      <c r="D8" s="172" t="s">
        <v>18</v>
      </c>
      <c r="E8" s="173" t="s">
        <v>19</v>
      </c>
      <c r="F8" s="8" t="s">
        <v>20</v>
      </c>
      <c r="G8" s="8" t="s">
        <v>21</v>
      </c>
      <c r="H8" s="9" t="s">
        <v>519</v>
      </c>
      <c r="I8" s="8" t="s">
        <v>22</v>
      </c>
      <c r="J8" s="8" t="s">
        <v>23</v>
      </c>
      <c r="K8" s="10" t="s">
        <v>24</v>
      </c>
      <c r="L8" s="11" t="s">
        <v>25</v>
      </c>
      <c r="M8" s="11" t="s">
        <v>26</v>
      </c>
      <c r="N8" s="11" t="s">
        <v>27</v>
      </c>
      <c r="O8" s="12" t="s">
        <v>28</v>
      </c>
      <c r="P8" s="378"/>
      <c r="Q8" s="391"/>
      <c r="R8" s="14" t="s">
        <v>29</v>
      </c>
      <c r="S8" s="15" t="s">
        <v>30</v>
      </c>
      <c r="T8" s="340"/>
      <c r="U8" s="16" t="s">
        <v>31</v>
      </c>
      <c r="V8" s="16" t="s">
        <v>32</v>
      </c>
      <c r="W8" s="169" t="s">
        <v>33</v>
      </c>
      <c r="X8" s="17" t="s">
        <v>34</v>
      </c>
      <c r="Y8" s="174" t="s">
        <v>35</v>
      </c>
      <c r="Z8" s="17" t="s">
        <v>36</v>
      </c>
      <c r="AA8" s="18" t="s">
        <v>37</v>
      </c>
      <c r="AB8" s="18" t="s">
        <v>520</v>
      </c>
      <c r="AC8" s="18" t="s">
        <v>38</v>
      </c>
      <c r="AD8" s="19" t="s">
        <v>39</v>
      </c>
      <c r="AE8" s="355"/>
      <c r="AF8" s="340"/>
      <c r="AG8" s="382"/>
    </row>
    <row r="9" spans="1:36" s="26" customFormat="1" ht="34.5" customHeight="1">
      <c r="A9" s="22">
        <v>1</v>
      </c>
      <c r="B9" s="23">
        <v>2</v>
      </c>
      <c r="C9" s="22">
        <v>3</v>
      </c>
      <c r="D9" s="23">
        <v>4</v>
      </c>
      <c r="E9" s="22">
        <v>5</v>
      </c>
      <c r="F9" s="23">
        <v>3</v>
      </c>
      <c r="G9" s="24">
        <v>4</v>
      </c>
      <c r="H9" s="23">
        <v>5</v>
      </c>
      <c r="I9" s="24">
        <v>6</v>
      </c>
      <c r="J9" s="23">
        <v>7</v>
      </c>
      <c r="K9" s="24">
        <v>8</v>
      </c>
      <c r="L9" s="23">
        <v>9</v>
      </c>
      <c r="M9" s="24">
        <v>10</v>
      </c>
      <c r="N9" s="23">
        <v>11</v>
      </c>
      <c r="O9" s="24">
        <v>12</v>
      </c>
      <c r="P9" s="23" t="s">
        <v>581</v>
      </c>
      <c r="Q9" s="270" t="s">
        <v>582</v>
      </c>
      <c r="R9" s="23">
        <v>15</v>
      </c>
      <c r="S9" s="24">
        <v>16</v>
      </c>
      <c r="T9" s="23" t="s">
        <v>583</v>
      </c>
      <c r="U9" s="24">
        <v>18</v>
      </c>
      <c r="V9" s="23">
        <v>19</v>
      </c>
      <c r="W9" s="24">
        <v>20</v>
      </c>
      <c r="X9" s="23">
        <v>21</v>
      </c>
      <c r="Y9" s="24">
        <v>22</v>
      </c>
      <c r="Z9" s="23" t="s">
        <v>584</v>
      </c>
      <c r="AA9" s="24" t="s">
        <v>586</v>
      </c>
      <c r="AB9" s="23" t="s">
        <v>585</v>
      </c>
      <c r="AC9" s="24">
        <v>26</v>
      </c>
      <c r="AD9" s="23" t="s">
        <v>587</v>
      </c>
      <c r="AE9" s="24" t="s">
        <v>588</v>
      </c>
      <c r="AF9" s="23" t="s">
        <v>589</v>
      </c>
      <c r="AG9" s="24">
        <v>30</v>
      </c>
    </row>
    <row r="10" spans="1:36" s="31" customFormat="1" ht="34.5" customHeight="1">
      <c r="A10" s="383" t="s">
        <v>43</v>
      </c>
      <c r="B10" s="384"/>
      <c r="C10" s="27"/>
      <c r="D10" s="27"/>
      <c r="E10" s="28"/>
      <c r="F10" s="27"/>
      <c r="G10" s="27"/>
      <c r="H10" s="29"/>
      <c r="I10" s="30"/>
      <c r="J10" s="30"/>
      <c r="K10" s="30">
        <f>SUM(K11:K462)</f>
        <v>55764.899999999994</v>
      </c>
      <c r="L10" s="30" t="e">
        <f t="shared" ref="L10:AD10" si="0">SUM(L11:L462)</f>
        <v>#VALUE!</v>
      </c>
      <c r="M10" s="30">
        <f t="shared" si="0"/>
        <v>3959.1999999999994</v>
      </c>
      <c r="N10" s="30">
        <f t="shared" si="0"/>
        <v>753.5</v>
      </c>
      <c r="O10" s="30">
        <f t="shared" si="0"/>
        <v>313.69999999999987</v>
      </c>
      <c r="P10" s="30" t="e">
        <f t="shared" si="0"/>
        <v>#VALUE!</v>
      </c>
      <c r="Q10" s="30" t="e">
        <f t="shared" si="0"/>
        <v>#VALUE!</v>
      </c>
      <c r="R10" s="30"/>
      <c r="S10" s="168" t="e">
        <f t="shared" si="0"/>
        <v>#VALUE!</v>
      </c>
      <c r="T10" s="168">
        <f t="shared" si="0"/>
        <v>22605000</v>
      </c>
      <c r="U10" s="30">
        <f t="shared" si="0"/>
        <v>0</v>
      </c>
      <c r="V10" s="30"/>
      <c r="W10" s="30">
        <f t="shared" si="0"/>
        <v>0</v>
      </c>
      <c r="X10" s="30"/>
      <c r="Y10" s="30"/>
      <c r="Z10" s="168" t="e">
        <f>SUM(Z11:Z462)</f>
        <v>#VALUE!</v>
      </c>
      <c r="AA10" s="168" t="e">
        <f t="shared" si="0"/>
        <v>#VALUE!</v>
      </c>
      <c r="AB10" s="168" t="e">
        <f t="shared" si="0"/>
        <v>#VALUE!</v>
      </c>
      <c r="AC10" s="168">
        <f t="shared" si="0"/>
        <v>135</v>
      </c>
      <c r="AD10" s="168">
        <f t="shared" si="0"/>
        <v>472500000</v>
      </c>
      <c r="AE10" s="168" t="e">
        <f>SUM(AE11:AE463)</f>
        <v>#VALUE!</v>
      </c>
      <c r="AF10" s="168" t="e">
        <f>SUM(AF11:AF463)</f>
        <v>#VALUE!</v>
      </c>
      <c r="AG10" s="30"/>
      <c r="AH10" s="26"/>
      <c r="AI10" s="26"/>
      <c r="AJ10" s="26"/>
    </row>
    <row r="11" spans="1:36" s="47" customFormat="1" ht="46.5" customHeight="1">
      <c r="A11" s="307">
        <v>1</v>
      </c>
      <c r="B11" s="33" t="s">
        <v>44</v>
      </c>
      <c r="C11" s="72">
        <v>83</v>
      </c>
      <c r="D11" s="72">
        <v>4</v>
      </c>
      <c r="E11" s="73">
        <v>480</v>
      </c>
      <c r="F11" s="34">
        <v>304</v>
      </c>
      <c r="G11" s="34">
        <v>28</v>
      </c>
      <c r="H11" s="35">
        <v>477.4</v>
      </c>
      <c r="I11" s="34" t="s">
        <v>45</v>
      </c>
      <c r="J11" s="36" t="s">
        <v>46</v>
      </c>
      <c r="K11" s="37">
        <v>477.4</v>
      </c>
      <c r="L11" s="38"/>
      <c r="M11" s="38"/>
      <c r="N11" s="38"/>
      <c r="O11" s="38"/>
      <c r="P11" s="39">
        <f>SUM(K11:O11)</f>
        <v>477.4</v>
      </c>
      <c r="Q11" s="310">
        <f>SUM(P11:P18)</f>
        <v>2354.6999999999998</v>
      </c>
      <c r="R11" s="40">
        <v>60000</v>
      </c>
      <c r="S11" s="41">
        <f>P11*R11</f>
        <v>28644000</v>
      </c>
      <c r="T11" s="41"/>
      <c r="U11" s="42" t="s">
        <v>47</v>
      </c>
      <c r="V11" s="66">
        <f>P11</f>
        <v>477.4</v>
      </c>
      <c r="W11" s="38" t="s">
        <v>48</v>
      </c>
      <c r="X11" s="41">
        <v>9500</v>
      </c>
      <c r="Y11" s="43">
        <v>1</v>
      </c>
      <c r="Z11" s="41">
        <f t="shared" ref="Z11:Z74" si="1">V11*X11*Y11</f>
        <v>4535300</v>
      </c>
      <c r="AA11" s="41">
        <f>P11*10000</f>
        <v>4774000</v>
      </c>
      <c r="AB11" s="41">
        <f>P11*R11*3</f>
        <v>85932000</v>
      </c>
      <c r="AC11" s="38">
        <v>5</v>
      </c>
      <c r="AD11" s="44">
        <f t="shared" ref="AD11:AD74" si="2">AC11*3500000</f>
        <v>17500000</v>
      </c>
      <c r="AE11" s="41">
        <f t="shared" ref="AE11:AE42" si="3">S11+Z11+AA11+AB11+AD11+T11</f>
        <v>141385300</v>
      </c>
      <c r="AF11" s="313">
        <f>SUM(AE11:AE18)</f>
        <v>637843850</v>
      </c>
      <c r="AG11" s="45"/>
      <c r="AH11" s="46"/>
      <c r="AI11" s="46"/>
      <c r="AJ11" s="46"/>
    </row>
    <row r="12" spans="1:36" s="47" customFormat="1" ht="46.5" customHeight="1">
      <c r="A12" s="308"/>
      <c r="B12" s="33" t="s">
        <v>44</v>
      </c>
      <c r="C12" s="77"/>
      <c r="D12" s="77"/>
      <c r="E12" s="78"/>
      <c r="F12" s="48">
        <v>303</v>
      </c>
      <c r="G12" s="48">
        <v>28</v>
      </c>
      <c r="H12" s="49">
        <v>521.6</v>
      </c>
      <c r="I12" s="34" t="s">
        <v>49</v>
      </c>
      <c r="J12" s="36" t="s">
        <v>50</v>
      </c>
      <c r="K12" s="37">
        <f>480-477.4</f>
        <v>2.6000000000000227</v>
      </c>
      <c r="L12" s="38">
        <f>17.8-2.6</f>
        <v>15.200000000000001</v>
      </c>
      <c r="M12" s="38"/>
      <c r="N12" s="38"/>
      <c r="O12" s="38"/>
      <c r="P12" s="39">
        <f t="shared" ref="P12:P75" si="4">SUM(K12:O12)</f>
        <v>17.800000000000026</v>
      </c>
      <c r="Q12" s="311"/>
      <c r="R12" s="40">
        <v>60000</v>
      </c>
      <c r="S12" s="41">
        <f t="shared" ref="S12:S13" si="5">P12*R12</f>
        <v>1068000.0000000016</v>
      </c>
      <c r="T12" s="41"/>
      <c r="U12" s="42" t="s">
        <v>47</v>
      </c>
      <c r="V12" s="66">
        <f>P12</f>
        <v>17.800000000000026</v>
      </c>
      <c r="W12" s="38" t="s">
        <v>48</v>
      </c>
      <c r="X12" s="41">
        <v>9500</v>
      </c>
      <c r="Y12" s="43">
        <v>1</v>
      </c>
      <c r="Z12" s="41">
        <f t="shared" si="1"/>
        <v>169100.00000000023</v>
      </c>
      <c r="AA12" s="41">
        <f t="shared" ref="AA12:AA13" si="6">P12*10000</f>
        <v>178000.00000000026</v>
      </c>
      <c r="AB12" s="41">
        <f t="shared" ref="AB12:AB75" si="7">P12*R12*3</f>
        <v>3204000.0000000047</v>
      </c>
      <c r="AC12" s="38"/>
      <c r="AD12" s="44">
        <f t="shared" si="2"/>
        <v>0</v>
      </c>
      <c r="AE12" s="41">
        <f t="shared" si="3"/>
        <v>4619100.0000000065</v>
      </c>
      <c r="AF12" s="314"/>
      <c r="AG12" s="45"/>
      <c r="AH12" s="46"/>
      <c r="AI12" s="46"/>
      <c r="AJ12" s="46"/>
    </row>
    <row r="13" spans="1:36" s="47" customFormat="1" ht="46.5" customHeight="1">
      <c r="A13" s="308"/>
      <c r="B13" s="33" t="s">
        <v>44</v>
      </c>
      <c r="C13" s="50">
        <v>195</v>
      </c>
      <c r="D13" s="50">
        <v>5</v>
      </c>
      <c r="E13" s="51">
        <v>204</v>
      </c>
      <c r="F13" s="385">
        <v>209</v>
      </c>
      <c r="G13" s="385">
        <v>28</v>
      </c>
      <c r="H13" s="387">
        <v>272.89999999999998</v>
      </c>
      <c r="I13" s="387" t="s">
        <v>49</v>
      </c>
      <c r="J13" s="387" t="s">
        <v>50</v>
      </c>
      <c r="K13" s="37">
        <v>204</v>
      </c>
      <c r="L13" s="38">
        <f>272.9-204</f>
        <v>68.899999999999977</v>
      </c>
      <c r="M13" s="38"/>
      <c r="N13" s="38"/>
      <c r="O13" s="38"/>
      <c r="P13" s="39">
        <f t="shared" si="4"/>
        <v>272.89999999999998</v>
      </c>
      <c r="Q13" s="311"/>
      <c r="R13" s="40">
        <v>60000</v>
      </c>
      <c r="S13" s="41">
        <f t="shared" si="5"/>
        <v>16373999.999999998</v>
      </c>
      <c r="T13" s="41"/>
      <c r="U13" s="42" t="s">
        <v>51</v>
      </c>
      <c r="V13" s="66">
        <v>60</v>
      </c>
      <c r="W13" s="38" t="s">
        <v>52</v>
      </c>
      <c r="X13" s="41">
        <v>123000</v>
      </c>
      <c r="Y13" s="43">
        <v>0.8</v>
      </c>
      <c r="Z13" s="41">
        <f t="shared" si="1"/>
        <v>5904000</v>
      </c>
      <c r="AA13" s="41">
        <f t="shared" si="6"/>
        <v>2729000</v>
      </c>
      <c r="AB13" s="41">
        <f t="shared" si="7"/>
        <v>49121999.999999993</v>
      </c>
      <c r="AC13" s="38"/>
      <c r="AD13" s="44">
        <f t="shared" si="2"/>
        <v>0</v>
      </c>
      <c r="AE13" s="41">
        <f t="shared" si="3"/>
        <v>74129000</v>
      </c>
      <c r="AF13" s="314"/>
      <c r="AG13" s="45"/>
      <c r="AH13" s="46"/>
      <c r="AI13" s="46"/>
      <c r="AJ13" s="46"/>
    </row>
    <row r="14" spans="1:36" s="47" customFormat="1" ht="46.5" customHeight="1">
      <c r="A14" s="308"/>
      <c r="B14" s="33" t="s">
        <v>44</v>
      </c>
      <c r="C14" s="50"/>
      <c r="D14" s="50"/>
      <c r="E14" s="51"/>
      <c r="F14" s="386"/>
      <c r="G14" s="386"/>
      <c r="H14" s="388"/>
      <c r="I14" s="388"/>
      <c r="J14" s="388"/>
      <c r="K14" s="37"/>
      <c r="L14" s="38"/>
      <c r="M14" s="38"/>
      <c r="N14" s="38"/>
      <c r="O14" s="38"/>
      <c r="P14" s="39">
        <f t="shared" si="4"/>
        <v>0</v>
      </c>
      <c r="Q14" s="311"/>
      <c r="R14" s="40"/>
      <c r="S14" s="41"/>
      <c r="T14" s="41"/>
      <c r="U14" s="42" t="s">
        <v>51</v>
      </c>
      <c r="V14" s="66">
        <v>12</v>
      </c>
      <c r="W14" s="38" t="s">
        <v>52</v>
      </c>
      <c r="X14" s="41"/>
      <c r="Y14" s="43"/>
      <c r="Z14" s="41"/>
      <c r="AA14" s="41"/>
      <c r="AB14" s="41"/>
      <c r="AC14" s="38"/>
      <c r="AD14" s="44">
        <f t="shared" si="2"/>
        <v>0</v>
      </c>
      <c r="AE14" s="41">
        <f t="shared" si="3"/>
        <v>0</v>
      </c>
      <c r="AF14" s="314"/>
      <c r="AG14" s="45" t="s">
        <v>53</v>
      </c>
      <c r="AH14" s="46"/>
      <c r="AI14" s="46"/>
      <c r="AJ14" s="46"/>
    </row>
    <row r="15" spans="1:36" s="47" customFormat="1" ht="46.5" customHeight="1">
      <c r="A15" s="308"/>
      <c r="B15" s="33" t="s">
        <v>44</v>
      </c>
      <c r="C15" s="50">
        <v>9</v>
      </c>
      <c r="D15" s="50">
        <v>4</v>
      </c>
      <c r="E15" s="51">
        <v>672</v>
      </c>
      <c r="F15" s="34">
        <v>245</v>
      </c>
      <c r="G15" s="34">
        <v>21</v>
      </c>
      <c r="H15" s="35">
        <v>754</v>
      </c>
      <c r="I15" s="34" t="s">
        <v>45</v>
      </c>
      <c r="J15" s="36" t="s">
        <v>54</v>
      </c>
      <c r="K15" s="37">
        <v>672</v>
      </c>
      <c r="L15" s="38">
        <f>H15-E15</f>
        <v>82</v>
      </c>
      <c r="M15" s="38"/>
      <c r="N15" s="38"/>
      <c r="O15" s="38"/>
      <c r="P15" s="39">
        <f t="shared" si="4"/>
        <v>754</v>
      </c>
      <c r="Q15" s="311"/>
      <c r="R15" s="40">
        <v>60000</v>
      </c>
      <c r="S15" s="41">
        <f>P15*R15</f>
        <v>45240000</v>
      </c>
      <c r="T15" s="41"/>
      <c r="U15" s="42" t="s">
        <v>47</v>
      </c>
      <c r="V15" s="66">
        <f t="shared" ref="V15:V78" si="8">P15</f>
        <v>754</v>
      </c>
      <c r="W15" s="38" t="s">
        <v>48</v>
      </c>
      <c r="X15" s="41">
        <v>9500</v>
      </c>
      <c r="Y15" s="43">
        <v>1</v>
      </c>
      <c r="Z15" s="41">
        <f t="shared" si="1"/>
        <v>7163000</v>
      </c>
      <c r="AA15" s="41">
        <f>P15*10000</f>
        <v>7540000</v>
      </c>
      <c r="AB15" s="41">
        <f>P15*R15*3</f>
        <v>135720000</v>
      </c>
      <c r="AC15" s="38"/>
      <c r="AD15" s="44">
        <f t="shared" si="2"/>
        <v>0</v>
      </c>
      <c r="AE15" s="41">
        <f t="shared" si="3"/>
        <v>195663000</v>
      </c>
      <c r="AF15" s="314"/>
      <c r="AG15" s="45"/>
      <c r="AH15" s="46"/>
      <c r="AI15" s="46"/>
      <c r="AJ15" s="46"/>
    </row>
    <row r="16" spans="1:36" s="47" customFormat="1" ht="46.5" customHeight="1">
      <c r="A16" s="308"/>
      <c r="B16" s="33" t="s">
        <v>44</v>
      </c>
      <c r="C16" s="50"/>
      <c r="D16" s="50"/>
      <c r="E16" s="51"/>
      <c r="F16" s="34">
        <v>201</v>
      </c>
      <c r="G16" s="34">
        <v>21</v>
      </c>
      <c r="H16" s="35">
        <v>359</v>
      </c>
      <c r="I16" s="34" t="s">
        <v>45</v>
      </c>
      <c r="J16" s="36" t="s">
        <v>54</v>
      </c>
      <c r="K16" s="37"/>
      <c r="L16" s="38"/>
      <c r="M16" s="38">
        <v>359</v>
      </c>
      <c r="N16" s="38"/>
      <c r="O16" s="38"/>
      <c r="P16" s="39">
        <f t="shared" si="4"/>
        <v>359</v>
      </c>
      <c r="Q16" s="311"/>
      <c r="R16" s="40">
        <v>55000</v>
      </c>
      <c r="S16" s="41">
        <f>P16*R16</f>
        <v>19745000</v>
      </c>
      <c r="T16" s="41"/>
      <c r="U16" s="42" t="s">
        <v>51</v>
      </c>
      <c r="V16" s="66">
        <v>80</v>
      </c>
      <c r="W16" s="38" t="s">
        <v>52</v>
      </c>
      <c r="X16" s="41">
        <v>123000</v>
      </c>
      <c r="Y16" s="43">
        <v>1</v>
      </c>
      <c r="Z16" s="41">
        <f>V16*X16*Y16</f>
        <v>9840000</v>
      </c>
      <c r="AA16" s="41">
        <f>P16*7000</f>
        <v>2513000</v>
      </c>
      <c r="AB16" s="41">
        <f>P16*R16*3</f>
        <v>59235000</v>
      </c>
      <c r="AC16" s="38"/>
      <c r="AD16" s="44">
        <f t="shared" si="2"/>
        <v>0</v>
      </c>
      <c r="AE16" s="41">
        <f t="shared" si="3"/>
        <v>91333000</v>
      </c>
      <c r="AF16" s="314"/>
      <c r="AG16" s="45"/>
      <c r="AH16" s="46"/>
      <c r="AI16" s="46"/>
      <c r="AJ16" s="46"/>
    </row>
    <row r="17" spans="1:36" s="47" customFormat="1" ht="46.5" customHeight="1">
      <c r="A17" s="308"/>
      <c r="B17" s="33" t="s">
        <v>44</v>
      </c>
      <c r="C17" s="50">
        <v>4</v>
      </c>
      <c r="D17" s="50">
        <v>78</v>
      </c>
      <c r="E17" s="51">
        <v>96</v>
      </c>
      <c r="F17" s="34">
        <v>62</v>
      </c>
      <c r="G17" s="34">
        <v>28</v>
      </c>
      <c r="H17" s="35">
        <v>110.1</v>
      </c>
      <c r="I17" s="34" t="s">
        <v>55</v>
      </c>
      <c r="J17" s="36" t="s">
        <v>56</v>
      </c>
      <c r="K17" s="37">
        <v>96</v>
      </c>
      <c r="L17" s="38">
        <f>H17-E17</f>
        <v>14.099999999999994</v>
      </c>
      <c r="M17" s="38"/>
      <c r="N17" s="38"/>
      <c r="O17" s="38"/>
      <c r="P17" s="39">
        <f t="shared" si="4"/>
        <v>110.1</v>
      </c>
      <c r="Q17" s="311"/>
      <c r="R17" s="40">
        <v>60000</v>
      </c>
      <c r="S17" s="41">
        <f t="shared" ref="S17:S24" si="9">P17*R17</f>
        <v>6606000</v>
      </c>
      <c r="T17" s="41"/>
      <c r="U17" s="42" t="s">
        <v>47</v>
      </c>
      <c r="V17" s="66">
        <f>P17</f>
        <v>110.1</v>
      </c>
      <c r="W17" s="38" t="s">
        <v>52</v>
      </c>
      <c r="X17" s="41">
        <v>9500</v>
      </c>
      <c r="Y17" s="43">
        <v>1</v>
      </c>
      <c r="Z17" s="41">
        <f t="shared" si="1"/>
        <v>1045950</v>
      </c>
      <c r="AA17" s="41">
        <f t="shared" ref="AA17:AA24" si="10">P17*10000</f>
        <v>1101000</v>
      </c>
      <c r="AB17" s="41">
        <f t="shared" si="7"/>
        <v>19818000</v>
      </c>
      <c r="AC17" s="38"/>
      <c r="AD17" s="44">
        <f t="shared" si="2"/>
        <v>0</v>
      </c>
      <c r="AE17" s="41">
        <f t="shared" si="3"/>
        <v>28570950</v>
      </c>
      <c r="AF17" s="314"/>
      <c r="AG17" s="45"/>
      <c r="AH17" s="46"/>
      <c r="AI17" s="46"/>
      <c r="AJ17" s="46"/>
    </row>
    <row r="18" spans="1:36" s="47" customFormat="1" ht="46.5" customHeight="1">
      <c r="A18" s="309"/>
      <c r="B18" s="33" t="s">
        <v>44</v>
      </c>
      <c r="C18" s="50">
        <v>103</v>
      </c>
      <c r="D18" s="50">
        <v>5</v>
      </c>
      <c r="E18" s="51">
        <v>214</v>
      </c>
      <c r="F18" s="34">
        <v>297</v>
      </c>
      <c r="G18" s="34">
        <v>28</v>
      </c>
      <c r="H18" s="35">
        <v>363.5</v>
      </c>
      <c r="I18" s="34" t="s">
        <v>49</v>
      </c>
      <c r="J18" s="36" t="s">
        <v>57</v>
      </c>
      <c r="K18" s="37">
        <v>214</v>
      </c>
      <c r="L18" s="38">
        <f>H18-E18</f>
        <v>149.5</v>
      </c>
      <c r="M18" s="38"/>
      <c r="N18" s="38"/>
      <c r="O18" s="38"/>
      <c r="P18" s="39">
        <f t="shared" si="4"/>
        <v>363.5</v>
      </c>
      <c r="Q18" s="312"/>
      <c r="R18" s="40">
        <v>60000</v>
      </c>
      <c r="S18" s="41">
        <f t="shared" si="9"/>
        <v>21810000</v>
      </c>
      <c r="T18" s="41"/>
      <c r="U18" s="42" t="s">
        <v>58</v>
      </c>
      <c r="V18" s="66">
        <f t="shared" si="8"/>
        <v>363.5</v>
      </c>
      <c r="W18" s="38" t="s">
        <v>48</v>
      </c>
      <c r="X18" s="41">
        <v>31000</v>
      </c>
      <c r="Y18" s="43">
        <v>1</v>
      </c>
      <c r="Z18" s="41">
        <f t="shared" si="1"/>
        <v>11268500</v>
      </c>
      <c r="AA18" s="41">
        <f t="shared" si="10"/>
        <v>3635000</v>
      </c>
      <c r="AB18" s="41">
        <f t="shared" si="7"/>
        <v>65430000</v>
      </c>
      <c r="AC18" s="38"/>
      <c r="AD18" s="44">
        <f t="shared" si="2"/>
        <v>0</v>
      </c>
      <c r="AE18" s="41">
        <f t="shared" si="3"/>
        <v>102143500</v>
      </c>
      <c r="AF18" s="315"/>
      <c r="AG18" s="45"/>
      <c r="AH18" s="46"/>
      <c r="AI18" s="46"/>
      <c r="AJ18" s="46"/>
    </row>
    <row r="19" spans="1:36" s="47" customFormat="1" ht="46.5" customHeight="1">
      <c r="A19" s="32">
        <v>2</v>
      </c>
      <c r="B19" s="33" t="s">
        <v>59</v>
      </c>
      <c r="C19" s="50">
        <v>90</v>
      </c>
      <c r="D19" s="50">
        <v>4</v>
      </c>
      <c r="E19" s="51">
        <v>175</v>
      </c>
      <c r="F19" s="34">
        <v>96</v>
      </c>
      <c r="G19" s="34">
        <v>28</v>
      </c>
      <c r="H19" s="35">
        <v>375.6</v>
      </c>
      <c r="I19" s="34" t="s">
        <v>55</v>
      </c>
      <c r="J19" s="36" t="s">
        <v>60</v>
      </c>
      <c r="K19" s="37">
        <v>175</v>
      </c>
      <c r="L19" s="38">
        <v>24.8</v>
      </c>
      <c r="M19" s="38"/>
      <c r="N19" s="38"/>
      <c r="O19" s="38"/>
      <c r="P19" s="39">
        <f t="shared" si="4"/>
        <v>199.8</v>
      </c>
      <c r="Q19" s="164">
        <f>P19</f>
        <v>199.8</v>
      </c>
      <c r="R19" s="40">
        <v>60000</v>
      </c>
      <c r="S19" s="41">
        <f t="shared" si="9"/>
        <v>11988000</v>
      </c>
      <c r="T19" s="41"/>
      <c r="U19" s="42" t="s">
        <v>47</v>
      </c>
      <c r="V19" s="66">
        <f t="shared" si="8"/>
        <v>199.8</v>
      </c>
      <c r="W19" s="38" t="s">
        <v>48</v>
      </c>
      <c r="X19" s="41">
        <v>9500</v>
      </c>
      <c r="Y19" s="43">
        <v>1</v>
      </c>
      <c r="Z19" s="41">
        <f t="shared" si="1"/>
        <v>1898100</v>
      </c>
      <c r="AA19" s="41">
        <f t="shared" si="10"/>
        <v>1998000</v>
      </c>
      <c r="AB19" s="41">
        <f t="shared" si="7"/>
        <v>35964000</v>
      </c>
      <c r="AC19" s="38"/>
      <c r="AD19" s="44">
        <f t="shared" si="2"/>
        <v>0</v>
      </c>
      <c r="AE19" s="41">
        <f t="shared" si="3"/>
        <v>51848100</v>
      </c>
      <c r="AF19" s="54">
        <f>AE19</f>
        <v>51848100</v>
      </c>
      <c r="AG19" s="45"/>
      <c r="AH19" s="46"/>
      <c r="AI19" s="46"/>
      <c r="AJ19" s="46"/>
    </row>
    <row r="20" spans="1:36" s="47" customFormat="1" ht="66" customHeight="1">
      <c r="A20" s="32">
        <f t="shared" ref="A20" si="11">IF(B20=B19,A19,A19+1)</f>
        <v>3</v>
      </c>
      <c r="B20" s="33" t="s">
        <v>61</v>
      </c>
      <c r="C20" s="50">
        <v>90</v>
      </c>
      <c r="D20" s="50">
        <v>4</v>
      </c>
      <c r="E20" s="51">
        <v>154</v>
      </c>
      <c r="F20" s="34">
        <v>96</v>
      </c>
      <c r="G20" s="34">
        <v>28</v>
      </c>
      <c r="H20" s="35">
        <v>375.6</v>
      </c>
      <c r="I20" s="34" t="s">
        <v>55</v>
      </c>
      <c r="J20" s="36" t="s">
        <v>60</v>
      </c>
      <c r="K20" s="37">
        <v>154</v>
      </c>
      <c r="L20" s="38">
        <v>21.8</v>
      </c>
      <c r="M20" s="38"/>
      <c r="N20" s="38"/>
      <c r="O20" s="38"/>
      <c r="P20" s="39">
        <f t="shared" si="4"/>
        <v>175.8</v>
      </c>
      <c r="Q20" s="167">
        <f>P20</f>
        <v>175.8</v>
      </c>
      <c r="R20" s="40">
        <v>60000</v>
      </c>
      <c r="S20" s="41">
        <f t="shared" si="9"/>
        <v>10548000</v>
      </c>
      <c r="T20" s="41"/>
      <c r="U20" s="42" t="s">
        <v>47</v>
      </c>
      <c r="V20" s="66">
        <f t="shared" si="8"/>
        <v>175.8</v>
      </c>
      <c r="W20" s="38" t="s">
        <v>48</v>
      </c>
      <c r="X20" s="41">
        <v>9500</v>
      </c>
      <c r="Y20" s="43">
        <v>1</v>
      </c>
      <c r="Z20" s="41">
        <f t="shared" si="1"/>
        <v>1670100</v>
      </c>
      <c r="AA20" s="41">
        <f t="shared" si="10"/>
        <v>1758000</v>
      </c>
      <c r="AB20" s="41">
        <f t="shared" si="7"/>
        <v>31644000</v>
      </c>
      <c r="AC20" s="38"/>
      <c r="AD20" s="44">
        <f t="shared" si="2"/>
        <v>0</v>
      </c>
      <c r="AE20" s="41">
        <f t="shared" si="3"/>
        <v>45620100</v>
      </c>
      <c r="AF20" s="76">
        <f>AE20</f>
        <v>45620100</v>
      </c>
      <c r="AG20" s="45"/>
      <c r="AH20" s="46"/>
      <c r="AI20" s="46"/>
      <c r="AJ20" s="46"/>
    </row>
    <row r="21" spans="1:36" s="47" customFormat="1" ht="46.5" customHeight="1">
      <c r="A21" s="307">
        <v>4</v>
      </c>
      <c r="B21" s="33" t="s">
        <v>62</v>
      </c>
      <c r="C21" s="50">
        <v>79</v>
      </c>
      <c r="D21" s="50">
        <v>4</v>
      </c>
      <c r="E21" s="51">
        <v>360</v>
      </c>
      <c r="F21" s="34">
        <v>33</v>
      </c>
      <c r="G21" s="34">
        <v>28</v>
      </c>
      <c r="H21" s="35">
        <v>405.8</v>
      </c>
      <c r="I21" s="34" t="s">
        <v>45</v>
      </c>
      <c r="J21" s="36" t="s">
        <v>63</v>
      </c>
      <c r="K21" s="37">
        <v>360</v>
      </c>
      <c r="L21" s="38">
        <f>405.8-360</f>
        <v>45.800000000000011</v>
      </c>
      <c r="M21" s="38"/>
      <c r="N21" s="38"/>
      <c r="O21" s="38"/>
      <c r="P21" s="39">
        <f t="shared" si="4"/>
        <v>405.8</v>
      </c>
      <c r="Q21" s="310">
        <f>SUM(P21:P27)</f>
        <v>898</v>
      </c>
      <c r="R21" s="40">
        <v>60000</v>
      </c>
      <c r="S21" s="41">
        <f t="shared" si="9"/>
        <v>24348000</v>
      </c>
      <c r="T21" s="41"/>
      <c r="U21" s="42" t="s">
        <v>47</v>
      </c>
      <c r="V21" s="66">
        <f t="shared" si="8"/>
        <v>405.8</v>
      </c>
      <c r="W21" s="38" t="s">
        <v>48</v>
      </c>
      <c r="X21" s="41">
        <v>9500</v>
      </c>
      <c r="Y21" s="43">
        <v>1</v>
      </c>
      <c r="Z21" s="41">
        <f t="shared" si="1"/>
        <v>3855100</v>
      </c>
      <c r="AA21" s="41">
        <f t="shared" si="10"/>
        <v>4058000</v>
      </c>
      <c r="AB21" s="41">
        <f t="shared" si="7"/>
        <v>73044000</v>
      </c>
      <c r="AC21" s="38">
        <v>2</v>
      </c>
      <c r="AD21" s="44">
        <f t="shared" si="2"/>
        <v>7000000</v>
      </c>
      <c r="AE21" s="41">
        <f t="shared" si="3"/>
        <v>112305100</v>
      </c>
      <c r="AF21" s="313">
        <f>SUM(AE21:AE27)</f>
        <v>241568600</v>
      </c>
      <c r="AG21" s="45">
        <v>240031000</v>
      </c>
      <c r="AH21" s="46"/>
      <c r="AI21" s="46"/>
      <c r="AJ21" s="46"/>
    </row>
    <row r="22" spans="1:36" s="47" customFormat="1" ht="46.5" customHeight="1">
      <c r="A22" s="308"/>
      <c r="B22" s="33" t="s">
        <v>62</v>
      </c>
      <c r="C22" s="50">
        <v>117</v>
      </c>
      <c r="D22" s="50">
        <v>4</v>
      </c>
      <c r="E22" s="51">
        <v>48</v>
      </c>
      <c r="F22" s="34">
        <v>472</v>
      </c>
      <c r="G22" s="34">
        <v>28</v>
      </c>
      <c r="H22" s="35">
        <v>57.3</v>
      </c>
      <c r="I22" s="34" t="s">
        <v>49</v>
      </c>
      <c r="J22" s="36" t="s">
        <v>57</v>
      </c>
      <c r="K22" s="37">
        <v>48</v>
      </c>
      <c r="L22" s="38">
        <f>57.3-48</f>
        <v>9.2999999999999972</v>
      </c>
      <c r="M22" s="38"/>
      <c r="N22" s="38"/>
      <c r="O22" s="38"/>
      <c r="P22" s="39">
        <f t="shared" si="4"/>
        <v>57.3</v>
      </c>
      <c r="Q22" s="311"/>
      <c r="R22" s="40">
        <v>60000</v>
      </c>
      <c r="S22" s="41">
        <f t="shared" si="9"/>
        <v>3438000</v>
      </c>
      <c r="T22" s="41"/>
      <c r="U22" s="42" t="s">
        <v>47</v>
      </c>
      <c r="V22" s="66">
        <f t="shared" si="8"/>
        <v>57.3</v>
      </c>
      <c r="W22" s="38" t="s">
        <v>48</v>
      </c>
      <c r="X22" s="41">
        <v>9500</v>
      </c>
      <c r="Y22" s="43">
        <v>1</v>
      </c>
      <c r="Z22" s="41">
        <f t="shared" si="1"/>
        <v>544350</v>
      </c>
      <c r="AA22" s="41">
        <f t="shared" si="10"/>
        <v>573000</v>
      </c>
      <c r="AB22" s="41">
        <f t="shared" si="7"/>
        <v>10314000</v>
      </c>
      <c r="AC22" s="38"/>
      <c r="AD22" s="44">
        <f t="shared" si="2"/>
        <v>0</v>
      </c>
      <c r="AE22" s="41">
        <f t="shared" si="3"/>
        <v>14869350</v>
      </c>
      <c r="AF22" s="314"/>
      <c r="AG22" s="56">
        <f>AF21-240031000</f>
        <v>1537600</v>
      </c>
      <c r="AH22" s="46"/>
      <c r="AI22" s="46"/>
      <c r="AJ22" s="46"/>
    </row>
    <row r="23" spans="1:36" s="47" customFormat="1" ht="46.5" customHeight="1">
      <c r="A23" s="308"/>
      <c r="B23" s="33" t="s">
        <v>62</v>
      </c>
      <c r="C23" s="50">
        <v>181</v>
      </c>
      <c r="D23" s="50">
        <v>5</v>
      </c>
      <c r="E23" s="51">
        <v>96</v>
      </c>
      <c r="F23" s="34">
        <v>387</v>
      </c>
      <c r="G23" s="34">
        <v>28</v>
      </c>
      <c r="H23" s="35">
        <v>156.4</v>
      </c>
      <c r="I23" s="34" t="s">
        <v>49</v>
      </c>
      <c r="J23" s="36" t="s">
        <v>57</v>
      </c>
      <c r="K23" s="37">
        <v>96</v>
      </c>
      <c r="L23" s="38">
        <f>156.4-96</f>
        <v>60.400000000000006</v>
      </c>
      <c r="M23" s="38"/>
      <c r="N23" s="38"/>
      <c r="O23" s="38"/>
      <c r="P23" s="39">
        <f t="shared" si="4"/>
        <v>156.4</v>
      </c>
      <c r="Q23" s="311"/>
      <c r="R23" s="40">
        <v>60000</v>
      </c>
      <c r="S23" s="41">
        <f t="shared" si="9"/>
        <v>9384000</v>
      </c>
      <c r="T23" s="41"/>
      <c r="U23" s="42" t="s">
        <v>47</v>
      </c>
      <c r="V23" s="66">
        <f t="shared" si="8"/>
        <v>156.4</v>
      </c>
      <c r="W23" s="38" t="s">
        <v>48</v>
      </c>
      <c r="X23" s="41">
        <v>9500</v>
      </c>
      <c r="Y23" s="43">
        <v>1</v>
      </c>
      <c r="Z23" s="41">
        <f t="shared" si="1"/>
        <v>1485800</v>
      </c>
      <c r="AA23" s="41">
        <f t="shared" si="10"/>
        <v>1564000</v>
      </c>
      <c r="AB23" s="41">
        <f t="shared" si="7"/>
        <v>28152000</v>
      </c>
      <c r="AC23" s="38"/>
      <c r="AD23" s="44">
        <f t="shared" si="2"/>
        <v>0</v>
      </c>
      <c r="AE23" s="41">
        <f t="shared" si="3"/>
        <v>40585800</v>
      </c>
      <c r="AF23" s="314"/>
      <c r="AG23" s="45"/>
      <c r="AH23" s="46"/>
      <c r="AI23" s="46"/>
      <c r="AJ23" s="46"/>
    </row>
    <row r="24" spans="1:36" s="47" customFormat="1" ht="46.5" customHeight="1">
      <c r="A24" s="308"/>
      <c r="B24" s="33" t="s">
        <v>62</v>
      </c>
      <c r="C24" s="50">
        <v>128</v>
      </c>
      <c r="D24" s="50">
        <v>5</v>
      </c>
      <c r="E24" s="51">
        <v>96</v>
      </c>
      <c r="F24" s="34">
        <v>291</v>
      </c>
      <c r="G24" s="34">
        <v>28</v>
      </c>
      <c r="H24" s="35">
        <v>111.4</v>
      </c>
      <c r="I24" s="34" t="s">
        <v>49</v>
      </c>
      <c r="J24" s="36" t="s">
        <v>50</v>
      </c>
      <c r="K24" s="37">
        <v>96</v>
      </c>
      <c r="L24" s="38">
        <f>111.4-96</f>
        <v>15.400000000000006</v>
      </c>
      <c r="M24" s="38"/>
      <c r="N24" s="38"/>
      <c r="O24" s="38"/>
      <c r="P24" s="39">
        <f t="shared" si="4"/>
        <v>111.4</v>
      </c>
      <c r="Q24" s="311"/>
      <c r="R24" s="40">
        <v>60000</v>
      </c>
      <c r="S24" s="41">
        <f t="shared" si="9"/>
        <v>6684000</v>
      </c>
      <c r="T24" s="41"/>
      <c r="U24" s="42" t="s">
        <v>64</v>
      </c>
      <c r="V24" s="66">
        <f>P24</f>
        <v>111.4</v>
      </c>
      <c r="W24" s="38" t="s">
        <v>48</v>
      </c>
      <c r="X24" s="41">
        <v>9500</v>
      </c>
      <c r="Y24" s="43">
        <v>1</v>
      </c>
      <c r="Z24" s="41">
        <f t="shared" si="1"/>
        <v>1058300</v>
      </c>
      <c r="AA24" s="41">
        <f t="shared" si="10"/>
        <v>1114000</v>
      </c>
      <c r="AB24" s="41">
        <f t="shared" si="7"/>
        <v>20052000</v>
      </c>
      <c r="AC24" s="38"/>
      <c r="AD24" s="44">
        <f t="shared" si="2"/>
        <v>0</v>
      </c>
      <c r="AE24" s="41">
        <f t="shared" si="3"/>
        <v>28908300</v>
      </c>
      <c r="AF24" s="314"/>
      <c r="AG24" s="45"/>
      <c r="AH24" s="46"/>
      <c r="AI24" s="46"/>
      <c r="AJ24" s="46"/>
    </row>
    <row r="25" spans="1:36" s="47" customFormat="1" ht="46.5" customHeight="1">
      <c r="A25" s="308"/>
      <c r="B25" s="33" t="s">
        <v>62</v>
      </c>
      <c r="C25" s="50"/>
      <c r="D25" s="50"/>
      <c r="E25" s="51"/>
      <c r="F25" s="34">
        <v>291</v>
      </c>
      <c r="G25" s="34">
        <v>28</v>
      </c>
      <c r="H25" s="35">
        <v>111.4</v>
      </c>
      <c r="I25" s="34" t="s">
        <v>49</v>
      </c>
      <c r="J25" s="36" t="s">
        <v>50</v>
      </c>
      <c r="K25" s="37"/>
      <c r="L25" s="38"/>
      <c r="M25" s="38"/>
      <c r="N25" s="38"/>
      <c r="O25" s="38"/>
      <c r="P25" s="39">
        <f t="shared" si="4"/>
        <v>0</v>
      </c>
      <c r="Q25" s="311"/>
      <c r="R25" s="40"/>
      <c r="S25" s="41">
        <f t="shared" ref="S25:S74" si="12">P25*R25</f>
        <v>0</v>
      </c>
      <c r="T25" s="41"/>
      <c r="U25" s="42" t="s">
        <v>65</v>
      </c>
      <c r="V25" s="66">
        <f>P25</f>
        <v>0</v>
      </c>
      <c r="W25" s="38" t="s">
        <v>48</v>
      </c>
      <c r="X25" s="41"/>
      <c r="Y25" s="43">
        <v>0</v>
      </c>
      <c r="Z25" s="41">
        <f t="shared" si="1"/>
        <v>0</v>
      </c>
      <c r="AA25" s="41">
        <f t="shared" ref="AA25:AA75" si="13">P25*10000</f>
        <v>0</v>
      </c>
      <c r="AB25" s="41">
        <f t="shared" si="7"/>
        <v>0</v>
      </c>
      <c r="AC25" s="38"/>
      <c r="AD25" s="44">
        <f t="shared" si="2"/>
        <v>0</v>
      </c>
      <c r="AE25" s="41">
        <f t="shared" si="3"/>
        <v>0</v>
      </c>
      <c r="AF25" s="314"/>
      <c r="AG25" s="45"/>
      <c r="AH25" s="46"/>
      <c r="AI25" s="46"/>
      <c r="AJ25" s="46"/>
    </row>
    <row r="26" spans="1:36" s="47" customFormat="1" ht="46.5" customHeight="1">
      <c r="A26" s="308"/>
      <c r="B26" s="33" t="s">
        <v>62</v>
      </c>
      <c r="C26" s="50">
        <v>48</v>
      </c>
      <c r="D26" s="50">
        <v>4</v>
      </c>
      <c r="E26" s="51">
        <v>144</v>
      </c>
      <c r="F26" s="34">
        <v>468</v>
      </c>
      <c r="G26" s="34">
        <v>28</v>
      </c>
      <c r="H26" s="35">
        <v>167.1</v>
      </c>
      <c r="I26" s="34" t="s">
        <v>49</v>
      </c>
      <c r="J26" s="36" t="s">
        <v>57</v>
      </c>
      <c r="K26" s="37">
        <f>144+23</f>
        <v>167</v>
      </c>
      <c r="L26" s="38">
        <v>0.1</v>
      </c>
      <c r="M26" s="38"/>
      <c r="N26" s="38"/>
      <c r="O26" s="38"/>
      <c r="P26" s="39">
        <f t="shared" si="4"/>
        <v>167.1</v>
      </c>
      <c r="Q26" s="311"/>
      <c r="R26" s="40">
        <v>60000</v>
      </c>
      <c r="S26" s="41">
        <f>P26*R26</f>
        <v>10026000</v>
      </c>
      <c r="T26" s="41"/>
      <c r="U26" s="42" t="s">
        <v>47</v>
      </c>
      <c r="V26" s="66">
        <f>167.1-48</f>
        <v>119.1</v>
      </c>
      <c r="W26" s="38" t="s">
        <v>48</v>
      </c>
      <c r="X26" s="41">
        <v>9500</v>
      </c>
      <c r="Y26" s="43">
        <v>1</v>
      </c>
      <c r="Z26" s="41">
        <f t="shared" si="1"/>
        <v>1131450</v>
      </c>
      <c r="AA26" s="41">
        <f>P26*10000</f>
        <v>1671000</v>
      </c>
      <c r="AB26" s="41">
        <f t="shared" si="7"/>
        <v>30078000</v>
      </c>
      <c r="AC26" s="38"/>
      <c r="AD26" s="44">
        <f t="shared" si="2"/>
        <v>0</v>
      </c>
      <c r="AE26" s="41">
        <f t="shared" si="3"/>
        <v>42906450</v>
      </c>
      <c r="AF26" s="314"/>
      <c r="AG26" s="45"/>
      <c r="AH26" s="46"/>
      <c r="AI26" s="46"/>
      <c r="AJ26" s="46"/>
    </row>
    <row r="27" spans="1:36" s="47" customFormat="1" ht="46.5" customHeight="1">
      <c r="A27" s="309"/>
      <c r="B27" s="33" t="s">
        <v>62</v>
      </c>
      <c r="C27" s="50"/>
      <c r="D27" s="50"/>
      <c r="E27" s="51"/>
      <c r="F27" s="34">
        <v>468</v>
      </c>
      <c r="G27" s="34">
        <v>28</v>
      </c>
      <c r="H27" s="35">
        <v>167.1</v>
      </c>
      <c r="I27" s="34" t="s">
        <v>49</v>
      </c>
      <c r="J27" s="36" t="s">
        <v>57</v>
      </c>
      <c r="K27" s="37"/>
      <c r="L27" s="38"/>
      <c r="M27" s="38"/>
      <c r="N27" s="38"/>
      <c r="O27" s="38"/>
      <c r="P27" s="39">
        <f t="shared" si="4"/>
        <v>0</v>
      </c>
      <c r="Q27" s="312"/>
      <c r="R27" s="40"/>
      <c r="S27" s="41">
        <f t="shared" si="12"/>
        <v>0</v>
      </c>
      <c r="T27" s="41"/>
      <c r="U27" s="42" t="s">
        <v>66</v>
      </c>
      <c r="V27" s="66">
        <v>4</v>
      </c>
      <c r="W27" s="38" t="s">
        <v>52</v>
      </c>
      <c r="X27" s="41">
        <v>623000</v>
      </c>
      <c r="Y27" s="43">
        <v>0.8</v>
      </c>
      <c r="Z27" s="41">
        <f t="shared" si="1"/>
        <v>1993600</v>
      </c>
      <c r="AA27" s="41">
        <f t="shared" si="13"/>
        <v>0</v>
      </c>
      <c r="AB27" s="41">
        <f t="shared" si="7"/>
        <v>0</v>
      </c>
      <c r="AC27" s="38"/>
      <c r="AD27" s="44">
        <f t="shared" si="2"/>
        <v>0</v>
      </c>
      <c r="AE27" s="41">
        <f t="shared" si="3"/>
        <v>1993600</v>
      </c>
      <c r="AF27" s="314"/>
      <c r="AG27" s="45"/>
      <c r="AH27" s="46"/>
      <c r="AI27" s="46"/>
      <c r="AJ27" s="46"/>
    </row>
    <row r="28" spans="1:36" s="47" customFormat="1" ht="70.5" customHeight="1">
      <c r="A28" s="307">
        <v>5</v>
      </c>
      <c r="B28" s="33" t="s">
        <v>67</v>
      </c>
      <c r="C28" s="57">
        <v>179</v>
      </c>
      <c r="D28" s="57">
        <v>5</v>
      </c>
      <c r="E28" s="58">
        <v>120</v>
      </c>
      <c r="F28" s="34">
        <v>360</v>
      </c>
      <c r="G28" s="34">
        <v>28</v>
      </c>
      <c r="H28" s="35">
        <v>46.9</v>
      </c>
      <c r="I28" s="34" t="s">
        <v>45</v>
      </c>
      <c r="J28" s="36" t="s">
        <v>57</v>
      </c>
      <c r="K28" s="37">
        <v>46.9</v>
      </c>
      <c r="L28" s="38"/>
      <c r="M28" s="38"/>
      <c r="N28" s="38"/>
      <c r="O28" s="38"/>
      <c r="P28" s="39">
        <f t="shared" si="4"/>
        <v>46.9</v>
      </c>
      <c r="Q28" s="310">
        <f>SUM(P28:P35)</f>
        <v>520.20000000000005</v>
      </c>
      <c r="R28" s="40">
        <v>60000</v>
      </c>
      <c r="S28" s="41">
        <f>P28*R28</f>
        <v>2814000</v>
      </c>
      <c r="T28" s="41"/>
      <c r="U28" s="42" t="s">
        <v>68</v>
      </c>
      <c r="V28" s="60">
        <v>5</v>
      </c>
      <c r="W28" s="38" t="s">
        <v>52</v>
      </c>
      <c r="X28" s="41">
        <v>163000</v>
      </c>
      <c r="Y28" s="43">
        <v>0.8</v>
      </c>
      <c r="Z28" s="41">
        <f t="shared" si="1"/>
        <v>652000</v>
      </c>
      <c r="AA28" s="41">
        <f>P28*10000</f>
        <v>469000</v>
      </c>
      <c r="AB28" s="41">
        <f t="shared" si="7"/>
        <v>8442000</v>
      </c>
      <c r="AC28" s="38">
        <v>1</v>
      </c>
      <c r="AD28" s="44">
        <f t="shared" si="2"/>
        <v>3500000</v>
      </c>
      <c r="AE28" s="41">
        <f t="shared" si="3"/>
        <v>15877000</v>
      </c>
      <c r="AF28" s="313">
        <f>SUM(AE28:AE35)</f>
        <v>138698350</v>
      </c>
      <c r="AG28" s="45"/>
      <c r="AH28" s="46"/>
      <c r="AI28" s="46"/>
      <c r="AJ28" s="46"/>
    </row>
    <row r="29" spans="1:36" s="47" customFormat="1" ht="59.25" customHeight="1">
      <c r="A29" s="308"/>
      <c r="B29" s="33" t="s">
        <v>67</v>
      </c>
      <c r="C29" s="57"/>
      <c r="D29" s="57"/>
      <c r="E29" s="58"/>
      <c r="F29" s="34">
        <v>360</v>
      </c>
      <c r="G29" s="34">
        <v>28</v>
      </c>
      <c r="H29" s="35">
        <v>46.9</v>
      </c>
      <c r="I29" s="34" t="s">
        <v>45</v>
      </c>
      <c r="J29" s="36" t="s">
        <v>57</v>
      </c>
      <c r="K29" s="37"/>
      <c r="L29" s="38"/>
      <c r="M29" s="38"/>
      <c r="N29" s="38"/>
      <c r="O29" s="38"/>
      <c r="P29" s="39">
        <f t="shared" si="4"/>
        <v>0</v>
      </c>
      <c r="Q29" s="311"/>
      <c r="R29" s="40"/>
      <c r="S29" s="41">
        <f t="shared" si="12"/>
        <v>0</v>
      </c>
      <c r="T29" s="41"/>
      <c r="U29" s="42" t="s">
        <v>69</v>
      </c>
      <c r="V29" s="60">
        <v>1</v>
      </c>
      <c r="W29" s="38" t="s">
        <v>52</v>
      </c>
      <c r="X29" s="41"/>
      <c r="Y29" s="43"/>
      <c r="Z29" s="41"/>
      <c r="AA29" s="41">
        <f t="shared" si="13"/>
        <v>0</v>
      </c>
      <c r="AB29" s="41">
        <f t="shared" si="7"/>
        <v>0</v>
      </c>
      <c r="AC29" s="38"/>
      <c r="AD29" s="44">
        <f t="shared" si="2"/>
        <v>0</v>
      </c>
      <c r="AE29" s="41">
        <f t="shared" si="3"/>
        <v>0</v>
      </c>
      <c r="AF29" s="314"/>
      <c r="AG29" s="45" t="s">
        <v>70</v>
      </c>
      <c r="AH29" s="46"/>
      <c r="AI29" s="46"/>
      <c r="AJ29" s="46"/>
    </row>
    <row r="30" spans="1:36" s="47" customFormat="1" ht="59.25" customHeight="1">
      <c r="A30" s="308"/>
      <c r="B30" s="33" t="s">
        <v>67</v>
      </c>
      <c r="C30" s="50">
        <v>179</v>
      </c>
      <c r="D30" s="50">
        <v>5</v>
      </c>
      <c r="E30" s="51">
        <v>120</v>
      </c>
      <c r="F30" s="34">
        <v>361</v>
      </c>
      <c r="G30" s="34">
        <v>28</v>
      </c>
      <c r="H30" s="35">
        <v>110.1</v>
      </c>
      <c r="I30" s="34" t="s">
        <v>45</v>
      </c>
      <c r="J30" s="36" t="s">
        <v>57</v>
      </c>
      <c r="K30" s="37">
        <f>120-46.9</f>
        <v>73.099999999999994</v>
      </c>
      <c r="L30" s="38">
        <f>110.1-73.1</f>
        <v>37</v>
      </c>
      <c r="M30" s="38"/>
      <c r="N30" s="38"/>
      <c r="O30" s="38"/>
      <c r="P30" s="39">
        <f t="shared" si="4"/>
        <v>110.1</v>
      </c>
      <c r="Q30" s="311"/>
      <c r="R30" s="40">
        <v>60000</v>
      </c>
      <c r="S30" s="41">
        <f>P30*R30</f>
        <v>6606000</v>
      </c>
      <c r="T30" s="41"/>
      <c r="U30" s="42" t="s">
        <v>71</v>
      </c>
      <c r="V30" s="66">
        <f>P30</f>
        <v>110.1</v>
      </c>
      <c r="W30" s="38" t="s">
        <v>48</v>
      </c>
      <c r="X30" s="41">
        <v>9500</v>
      </c>
      <c r="Y30" s="43">
        <v>1</v>
      </c>
      <c r="Z30" s="41">
        <f t="shared" ref="Z30" si="14">V30*X30*Y30</f>
        <v>1045950</v>
      </c>
      <c r="AA30" s="41">
        <f>P30*10000</f>
        <v>1101000</v>
      </c>
      <c r="AB30" s="41">
        <f t="shared" si="7"/>
        <v>19818000</v>
      </c>
      <c r="AC30" s="38"/>
      <c r="AD30" s="44">
        <f t="shared" si="2"/>
        <v>0</v>
      </c>
      <c r="AE30" s="41">
        <f t="shared" si="3"/>
        <v>28570950</v>
      </c>
      <c r="AF30" s="314"/>
      <c r="AG30" s="45"/>
      <c r="AH30" s="46"/>
      <c r="AI30" s="46"/>
      <c r="AJ30" s="46"/>
    </row>
    <row r="31" spans="1:36" s="47" customFormat="1" ht="59.25" customHeight="1">
      <c r="A31" s="308"/>
      <c r="B31" s="33" t="s">
        <v>67</v>
      </c>
      <c r="C31" s="50"/>
      <c r="D31" s="50"/>
      <c r="E31" s="51"/>
      <c r="F31" s="34">
        <v>361</v>
      </c>
      <c r="G31" s="34">
        <v>28</v>
      </c>
      <c r="H31" s="35">
        <v>110.1</v>
      </c>
      <c r="I31" s="34" t="s">
        <v>45</v>
      </c>
      <c r="J31" s="36" t="s">
        <v>57</v>
      </c>
      <c r="K31" s="37"/>
      <c r="L31" s="38"/>
      <c r="M31" s="38"/>
      <c r="N31" s="38"/>
      <c r="O31" s="38"/>
      <c r="P31" s="39">
        <f t="shared" si="4"/>
        <v>0</v>
      </c>
      <c r="Q31" s="311"/>
      <c r="R31" s="40"/>
      <c r="S31" s="41"/>
      <c r="T31" s="41"/>
      <c r="U31" s="42" t="s">
        <v>65</v>
      </c>
      <c r="V31" s="66">
        <v>0</v>
      </c>
      <c r="W31" s="38" t="s">
        <v>48</v>
      </c>
      <c r="X31" s="41"/>
      <c r="Y31" s="43">
        <v>0</v>
      </c>
      <c r="Z31" s="41">
        <f t="shared" si="1"/>
        <v>0</v>
      </c>
      <c r="AA31" s="41">
        <f t="shared" si="13"/>
        <v>0</v>
      </c>
      <c r="AB31" s="41">
        <f t="shared" si="7"/>
        <v>0</v>
      </c>
      <c r="AC31" s="38"/>
      <c r="AD31" s="44">
        <f t="shared" si="2"/>
        <v>0</v>
      </c>
      <c r="AE31" s="41">
        <f t="shared" si="3"/>
        <v>0</v>
      </c>
      <c r="AF31" s="314"/>
      <c r="AG31" s="45" t="s">
        <v>70</v>
      </c>
      <c r="AH31" s="46"/>
      <c r="AI31" s="46"/>
      <c r="AJ31" s="46"/>
    </row>
    <row r="32" spans="1:36" s="47" customFormat="1" ht="59.25" customHeight="1">
      <c r="A32" s="308"/>
      <c r="B32" s="33" t="s">
        <v>67</v>
      </c>
      <c r="C32" s="50">
        <v>7</v>
      </c>
      <c r="D32" s="50">
        <v>4</v>
      </c>
      <c r="E32" s="51">
        <v>240</v>
      </c>
      <c r="F32" s="34">
        <v>270</v>
      </c>
      <c r="G32" s="34">
        <v>28</v>
      </c>
      <c r="H32" s="35">
        <v>250</v>
      </c>
      <c r="I32" s="34" t="s">
        <v>45</v>
      </c>
      <c r="J32" s="36" t="s">
        <v>60</v>
      </c>
      <c r="K32" s="37">
        <v>240</v>
      </c>
      <c r="L32" s="38">
        <v>10</v>
      </c>
      <c r="M32" s="38"/>
      <c r="N32" s="38"/>
      <c r="O32" s="38"/>
      <c r="P32" s="39">
        <f t="shared" si="4"/>
        <v>250</v>
      </c>
      <c r="Q32" s="311"/>
      <c r="R32" s="40">
        <v>60000</v>
      </c>
      <c r="S32" s="41">
        <f t="shared" ref="S32:S33" si="15">P32*R32</f>
        <v>15000000</v>
      </c>
      <c r="T32" s="41"/>
      <c r="U32" s="42" t="s">
        <v>47</v>
      </c>
      <c r="V32" s="66">
        <f t="shared" ref="V32:V35" si="16">P32</f>
        <v>250</v>
      </c>
      <c r="W32" s="38" t="s">
        <v>48</v>
      </c>
      <c r="X32" s="41">
        <v>9500</v>
      </c>
      <c r="Y32" s="43">
        <v>1</v>
      </c>
      <c r="Z32" s="41">
        <f t="shared" si="1"/>
        <v>2375000</v>
      </c>
      <c r="AA32" s="41">
        <f t="shared" si="13"/>
        <v>2500000</v>
      </c>
      <c r="AB32" s="41">
        <f t="shared" si="7"/>
        <v>45000000</v>
      </c>
      <c r="AC32" s="38"/>
      <c r="AD32" s="44">
        <f t="shared" si="2"/>
        <v>0</v>
      </c>
      <c r="AE32" s="41">
        <f t="shared" si="3"/>
        <v>64875000</v>
      </c>
      <c r="AF32" s="314"/>
      <c r="AG32" s="45"/>
      <c r="AH32" s="46"/>
      <c r="AI32" s="46"/>
      <c r="AJ32" s="46"/>
    </row>
    <row r="33" spans="1:36" s="47" customFormat="1" ht="59.25" customHeight="1">
      <c r="A33" s="308"/>
      <c r="B33" s="33" t="s">
        <v>67</v>
      </c>
      <c r="C33" s="50">
        <v>81</v>
      </c>
      <c r="D33" s="50">
        <v>4</v>
      </c>
      <c r="E33" s="51">
        <v>72</v>
      </c>
      <c r="F33" s="34">
        <v>95</v>
      </c>
      <c r="G33" s="34">
        <v>28</v>
      </c>
      <c r="H33" s="35">
        <v>113.2</v>
      </c>
      <c r="I33" s="34" t="s">
        <v>55</v>
      </c>
      <c r="J33" s="36" t="s">
        <v>46</v>
      </c>
      <c r="K33" s="37">
        <v>72</v>
      </c>
      <c r="L33" s="38">
        <f>113.2-72</f>
        <v>41.2</v>
      </c>
      <c r="M33" s="38"/>
      <c r="N33" s="38"/>
      <c r="O33" s="38"/>
      <c r="P33" s="39">
        <f t="shared" si="4"/>
        <v>113.2</v>
      </c>
      <c r="Q33" s="311"/>
      <c r="R33" s="40">
        <v>60000</v>
      </c>
      <c r="S33" s="41">
        <f t="shared" si="15"/>
        <v>6792000</v>
      </c>
      <c r="T33" s="41"/>
      <c r="U33" s="42" t="s">
        <v>64</v>
      </c>
      <c r="V33" s="66">
        <f t="shared" si="16"/>
        <v>113.2</v>
      </c>
      <c r="W33" s="38" t="s">
        <v>48</v>
      </c>
      <c r="X33" s="41">
        <v>9500</v>
      </c>
      <c r="Y33" s="43">
        <v>1</v>
      </c>
      <c r="Z33" s="41">
        <f t="shared" si="1"/>
        <v>1075400</v>
      </c>
      <c r="AA33" s="41">
        <f t="shared" si="13"/>
        <v>1132000</v>
      </c>
      <c r="AB33" s="41">
        <f t="shared" si="7"/>
        <v>20376000</v>
      </c>
      <c r="AC33" s="38"/>
      <c r="AD33" s="44">
        <f t="shared" si="2"/>
        <v>0</v>
      </c>
      <c r="AE33" s="41">
        <f t="shared" si="3"/>
        <v>29375400</v>
      </c>
      <c r="AF33" s="314"/>
      <c r="AG33" s="45"/>
      <c r="AH33" s="46"/>
      <c r="AI33" s="46"/>
      <c r="AJ33" s="46"/>
    </row>
    <row r="34" spans="1:36" s="47" customFormat="1" ht="59.25" customHeight="1">
      <c r="A34" s="308"/>
      <c r="B34" s="33" t="s">
        <v>67</v>
      </c>
      <c r="C34" s="50"/>
      <c r="D34" s="50"/>
      <c r="E34" s="51"/>
      <c r="F34" s="34">
        <v>95</v>
      </c>
      <c r="G34" s="34">
        <v>28</v>
      </c>
      <c r="H34" s="35">
        <v>113.2</v>
      </c>
      <c r="I34" s="34" t="s">
        <v>55</v>
      </c>
      <c r="J34" s="36" t="s">
        <v>46</v>
      </c>
      <c r="K34" s="37"/>
      <c r="L34" s="38"/>
      <c r="M34" s="38"/>
      <c r="N34" s="38"/>
      <c r="O34" s="38"/>
      <c r="P34" s="39">
        <f t="shared" si="4"/>
        <v>0</v>
      </c>
      <c r="Q34" s="311"/>
      <c r="R34" s="40"/>
      <c r="S34" s="41">
        <f t="shared" si="12"/>
        <v>0</v>
      </c>
      <c r="T34" s="41"/>
      <c r="U34" s="42" t="s">
        <v>65</v>
      </c>
      <c r="V34" s="66">
        <f t="shared" si="16"/>
        <v>0</v>
      </c>
      <c r="W34" s="38" t="s">
        <v>48</v>
      </c>
      <c r="X34" s="41"/>
      <c r="Y34" s="43">
        <v>0</v>
      </c>
      <c r="Z34" s="41">
        <f t="shared" si="1"/>
        <v>0</v>
      </c>
      <c r="AA34" s="41">
        <f t="shared" si="13"/>
        <v>0</v>
      </c>
      <c r="AB34" s="41">
        <f t="shared" si="7"/>
        <v>0</v>
      </c>
      <c r="AC34" s="38"/>
      <c r="AD34" s="44">
        <f t="shared" si="2"/>
        <v>0</v>
      </c>
      <c r="AE34" s="41">
        <f t="shared" si="3"/>
        <v>0</v>
      </c>
      <c r="AF34" s="314"/>
      <c r="AG34" s="45" t="s">
        <v>70</v>
      </c>
      <c r="AH34" s="46"/>
      <c r="AI34" s="46"/>
      <c r="AJ34" s="46"/>
    </row>
    <row r="35" spans="1:36" s="47" customFormat="1" ht="49.5" customHeight="1">
      <c r="A35" s="309"/>
      <c r="B35" s="33" t="s">
        <v>67</v>
      </c>
      <c r="C35" s="50"/>
      <c r="D35" s="50"/>
      <c r="E35" s="51"/>
      <c r="F35" s="34">
        <v>95</v>
      </c>
      <c r="G35" s="34">
        <v>28</v>
      </c>
      <c r="H35" s="35">
        <v>113.2</v>
      </c>
      <c r="I35" s="34" t="s">
        <v>55</v>
      </c>
      <c r="J35" s="36" t="s">
        <v>46</v>
      </c>
      <c r="K35" s="37"/>
      <c r="L35" s="38"/>
      <c r="M35" s="38"/>
      <c r="N35" s="38"/>
      <c r="O35" s="38"/>
      <c r="P35" s="39">
        <f t="shared" si="4"/>
        <v>0</v>
      </c>
      <c r="Q35" s="312"/>
      <c r="R35" s="40"/>
      <c r="S35" s="41">
        <f t="shared" si="12"/>
        <v>0</v>
      </c>
      <c r="T35" s="41"/>
      <c r="U35" s="42" t="s">
        <v>72</v>
      </c>
      <c r="V35" s="66">
        <f t="shared" si="16"/>
        <v>0</v>
      </c>
      <c r="W35" s="38" t="s">
        <v>52</v>
      </c>
      <c r="X35" s="41"/>
      <c r="Y35" s="43">
        <v>0</v>
      </c>
      <c r="Z35" s="41">
        <f t="shared" si="1"/>
        <v>0</v>
      </c>
      <c r="AA35" s="41">
        <f t="shared" si="13"/>
        <v>0</v>
      </c>
      <c r="AB35" s="41">
        <f t="shared" si="7"/>
        <v>0</v>
      </c>
      <c r="AC35" s="38"/>
      <c r="AD35" s="44">
        <f t="shared" si="2"/>
        <v>0</v>
      </c>
      <c r="AE35" s="41">
        <f t="shared" si="3"/>
        <v>0</v>
      </c>
      <c r="AF35" s="315"/>
      <c r="AG35" s="45" t="s">
        <v>70</v>
      </c>
      <c r="AH35" s="46"/>
      <c r="AI35" s="46"/>
      <c r="AJ35" s="46"/>
    </row>
    <row r="36" spans="1:36" s="47" customFormat="1" ht="49.5" customHeight="1">
      <c r="A36" s="307">
        <v>6</v>
      </c>
      <c r="B36" s="33" t="s">
        <v>73</v>
      </c>
      <c r="C36" s="50">
        <v>117</v>
      </c>
      <c r="D36" s="50">
        <v>4</v>
      </c>
      <c r="E36" s="51">
        <v>312</v>
      </c>
      <c r="F36" s="34">
        <v>386</v>
      </c>
      <c r="G36" s="34">
        <v>28</v>
      </c>
      <c r="H36" s="35">
        <v>320.5</v>
      </c>
      <c r="I36" s="34" t="s">
        <v>49</v>
      </c>
      <c r="J36" s="36" t="s">
        <v>74</v>
      </c>
      <c r="K36" s="37">
        <v>312</v>
      </c>
      <c r="L36" s="38">
        <f>320.5-312</f>
        <v>8.5</v>
      </c>
      <c r="M36" s="38"/>
      <c r="N36" s="38"/>
      <c r="O36" s="38"/>
      <c r="P36" s="39">
        <f t="shared" si="4"/>
        <v>320.5</v>
      </c>
      <c r="Q36" s="164">
        <f>SUM(P36:P37)</f>
        <v>469.4</v>
      </c>
      <c r="R36" s="40">
        <v>60000</v>
      </c>
      <c r="S36" s="41">
        <f t="shared" si="12"/>
        <v>19230000</v>
      </c>
      <c r="T36" s="41"/>
      <c r="U36" s="42" t="s">
        <v>47</v>
      </c>
      <c r="V36" s="66">
        <f t="shared" si="8"/>
        <v>320.5</v>
      </c>
      <c r="W36" s="38" t="s">
        <v>48</v>
      </c>
      <c r="X36" s="41">
        <v>9500</v>
      </c>
      <c r="Y36" s="43">
        <v>1</v>
      </c>
      <c r="Z36" s="41">
        <f t="shared" si="1"/>
        <v>3044750</v>
      </c>
      <c r="AA36" s="41">
        <f t="shared" si="13"/>
        <v>3205000</v>
      </c>
      <c r="AB36" s="41">
        <f t="shared" si="7"/>
        <v>57690000</v>
      </c>
      <c r="AC36" s="38">
        <v>1</v>
      </c>
      <c r="AD36" s="44">
        <f t="shared" si="2"/>
        <v>3500000</v>
      </c>
      <c r="AE36" s="41">
        <f t="shared" si="3"/>
        <v>86669750</v>
      </c>
      <c r="AF36" s="313">
        <f>SUM(AE36:AE37)</f>
        <v>125309300</v>
      </c>
      <c r="AG36" s="45"/>
      <c r="AH36" s="46"/>
      <c r="AI36" s="46"/>
      <c r="AJ36" s="46"/>
    </row>
    <row r="37" spans="1:36" s="47" customFormat="1" ht="49.5" customHeight="1">
      <c r="A37" s="309"/>
      <c r="B37" s="33" t="s">
        <v>73</v>
      </c>
      <c r="C37" s="50">
        <v>114</v>
      </c>
      <c r="D37" s="50">
        <v>4</v>
      </c>
      <c r="E37" s="51">
        <v>144</v>
      </c>
      <c r="F37" s="34">
        <v>451</v>
      </c>
      <c r="G37" s="34">
        <v>28</v>
      </c>
      <c r="H37" s="35">
        <v>148.9</v>
      </c>
      <c r="I37" s="34" t="s">
        <v>49</v>
      </c>
      <c r="J37" s="36" t="s">
        <v>74</v>
      </c>
      <c r="K37" s="37">
        <f>144</f>
        <v>144</v>
      </c>
      <c r="L37" s="38">
        <f>H37-E37</f>
        <v>4.9000000000000057</v>
      </c>
      <c r="M37" s="38"/>
      <c r="N37" s="38"/>
      <c r="O37" s="38"/>
      <c r="P37" s="39">
        <f t="shared" si="4"/>
        <v>148.9</v>
      </c>
      <c r="Q37" s="166"/>
      <c r="R37" s="40">
        <v>60000</v>
      </c>
      <c r="S37" s="41">
        <f t="shared" si="12"/>
        <v>8934000</v>
      </c>
      <c r="T37" s="41"/>
      <c r="U37" s="42" t="s">
        <v>47</v>
      </c>
      <c r="V37" s="66">
        <f t="shared" si="8"/>
        <v>148.9</v>
      </c>
      <c r="W37" s="38" t="s">
        <v>48</v>
      </c>
      <c r="X37" s="41">
        <v>9500</v>
      </c>
      <c r="Y37" s="43">
        <v>1</v>
      </c>
      <c r="Z37" s="41">
        <f t="shared" si="1"/>
        <v>1414550</v>
      </c>
      <c r="AA37" s="41">
        <f t="shared" si="13"/>
        <v>1489000</v>
      </c>
      <c r="AB37" s="41">
        <f t="shared" si="7"/>
        <v>26802000</v>
      </c>
      <c r="AC37" s="38"/>
      <c r="AD37" s="44">
        <f t="shared" si="2"/>
        <v>0</v>
      </c>
      <c r="AE37" s="41">
        <f t="shared" si="3"/>
        <v>38639550</v>
      </c>
      <c r="AF37" s="315"/>
      <c r="AG37" s="45"/>
      <c r="AH37" s="46"/>
      <c r="AI37" s="46"/>
      <c r="AJ37" s="46"/>
    </row>
    <row r="38" spans="1:36" s="47" customFormat="1" ht="49.5" customHeight="1">
      <c r="A38" s="307">
        <v>7</v>
      </c>
      <c r="B38" s="33" t="s">
        <v>75</v>
      </c>
      <c r="C38" s="50"/>
      <c r="D38" s="50"/>
      <c r="E38" s="51"/>
      <c r="F38" s="34">
        <v>391</v>
      </c>
      <c r="G38" s="34">
        <v>28</v>
      </c>
      <c r="H38" s="35">
        <v>119.6</v>
      </c>
      <c r="I38" s="34" t="s">
        <v>49</v>
      </c>
      <c r="J38" s="36" t="s">
        <v>57</v>
      </c>
      <c r="K38" s="37"/>
      <c r="L38" s="38">
        <v>119.6</v>
      </c>
      <c r="M38" s="38"/>
      <c r="N38" s="38"/>
      <c r="O38" s="38"/>
      <c r="P38" s="39">
        <f t="shared" si="4"/>
        <v>119.6</v>
      </c>
      <c r="Q38" s="164">
        <f>P38</f>
        <v>119.6</v>
      </c>
      <c r="R38" s="40">
        <v>60000</v>
      </c>
      <c r="S38" s="41">
        <f t="shared" si="12"/>
        <v>7176000</v>
      </c>
      <c r="T38" s="41"/>
      <c r="U38" s="42" t="s">
        <v>64</v>
      </c>
      <c r="V38" s="66">
        <f t="shared" si="8"/>
        <v>119.6</v>
      </c>
      <c r="W38" s="38" t="s">
        <v>48</v>
      </c>
      <c r="X38" s="41">
        <v>9500</v>
      </c>
      <c r="Y38" s="43">
        <v>1</v>
      </c>
      <c r="Z38" s="41">
        <f t="shared" si="1"/>
        <v>1136200</v>
      </c>
      <c r="AA38" s="41">
        <f t="shared" si="13"/>
        <v>1196000</v>
      </c>
      <c r="AB38" s="41">
        <f t="shared" si="7"/>
        <v>21528000</v>
      </c>
      <c r="AC38" s="38"/>
      <c r="AD38" s="44">
        <f t="shared" si="2"/>
        <v>0</v>
      </c>
      <c r="AE38" s="41">
        <f t="shared" si="3"/>
        <v>31036200</v>
      </c>
      <c r="AF38" s="313">
        <f>AE38</f>
        <v>31036200</v>
      </c>
      <c r="AG38" s="45"/>
      <c r="AH38" s="46"/>
      <c r="AI38" s="46"/>
      <c r="AJ38" s="46"/>
    </row>
    <row r="39" spans="1:36" s="47" customFormat="1" ht="49.5" customHeight="1">
      <c r="A39" s="309"/>
      <c r="B39" s="33" t="s">
        <v>75</v>
      </c>
      <c r="C39" s="50"/>
      <c r="D39" s="50"/>
      <c r="E39" s="51"/>
      <c r="F39" s="34">
        <v>391</v>
      </c>
      <c r="G39" s="34">
        <v>28</v>
      </c>
      <c r="H39" s="35">
        <v>119.6</v>
      </c>
      <c r="I39" s="34" t="s">
        <v>49</v>
      </c>
      <c r="J39" s="36" t="s">
        <v>57</v>
      </c>
      <c r="K39" s="37"/>
      <c r="L39" s="38"/>
      <c r="M39" s="38"/>
      <c r="N39" s="38"/>
      <c r="O39" s="38"/>
      <c r="P39" s="39">
        <f t="shared" si="4"/>
        <v>0</v>
      </c>
      <c r="Q39" s="166"/>
      <c r="R39" s="40">
        <v>60000</v>
      </c>
      <c r="S39" s="41">
        <f t="shared" si="12"/>
        <v>0</v>
      </c>
      <c r="T39" s="41"/>
      <c r="U39" s="42" t="s">
        <v>65</v>
      </c>
      <c r="V39" s="66">
        <f t="shared" si="8"/>
        <v>0</v>
      </c>
      <c r="W39" s="38" t="s">
        <v>48</v>
      </c>
      <c r="X39" s="41"/>
      <c r="Y39" s="43">
        <v>0</v>
      </c>
      <c r="Z39" s="41">
        <f t="shared" si="1"/>
        <v>0</v>
      </c>
      <c r="AA39" s="41">
        <f t="shared" si="13"/>
        <v>0</v>
      </c>
      <c r="AB39" s="41">
        <f t="shared" si="7"/>
        <v>0</v>
      </c>
      <c r="AC39" s="38"/>
      <c r="AD39" s="44">
        <f t="shared" si="2"/>
        <v>0</v>
      </c>
      <c r="AE39" s="41">
        <f t="shared" si="3"/>
        <v>0</v>
      </c>
      <c r="AF39" s="315"/>
      <c r="AG39" s="45" t="s">
        <v>70</v>
      </c>
      <c r="AH39" s="46"/>
      <c r="AI39" s="46"/>
      <c r="AJ39" s="46"/>
    </row>
    <row r="40" spans="1:36" s="47" customFormat="1" ht="49.5" customHeight="1">
      <c r="A40" s="32">
        <v>8</v>
      </c>
      <c r="B40" s="33" t="s">
        <v>76</v>
      </c>
      <c r="C40" s="50">
        <v>90</v>
      </c>
      <c r="D40" s="50">
        <v>4</v>
      </c>
      <c r="E40" s="51">
        <v>153</v>
      </c>
      <c r="F40" s="34">
        <v>68</v>
      </c>
      <c r="G40" s="34">
        <v>28</v>
      </c>
      <c r="H40" s="35">
        <v>194.7</v>
      </c>
      <c r="I40" s="34" t="s">
        <v>55</v>
      </c>
      <c r="J40" s="36" t="s">
        <v>60</v>
      </c>
      <c r="K40" s="37">
        <v>153</v>
      </c>
      <c r="L40" s="38">
        <f>194.7-153</f>
        <v>41.699999999999989</v>
      </c>
      <c r="M40" s="38"/>
      <c r="N40" s="38"/>
      <c r="O40" s="38"/>
      <c r="P40" s="39">
        <f t="shared" si="4"/>
        <v>194.7</v>
      </c>
      <c r="Q40" s="63">
        <f>P40</f>
        <v>194.7</v>
      </c>
      <c r="R40" s="40">
        <v>60000</v>
      </c>
      <c r="S40" s="41">
        <f t="shared" si="12"/>
        <v>11682000</v>
      </c>
      <c r="T40" s="41"/>
      <c r="U40" s="42" t="s">
        <v>47</v>
      </c>
      <c r="V40" s="66">
        <f t="shared" si="8"/>
        <v>194.7</v>
      </c>
      <c r="W40" s="38" t="s">
        <v>48</v>
      </c>
      <c r="X40" s="41">
        <v>9500</v>
      </c>
      <c r="Y40" s="43">
        <v>1</v>
      </c>
      <c r="Z40" s="41">
        <f t="shared" si="1"/>
        <v>1849650</v>
      </c>
      <c r="AA40" s="41">
        <f t="shared" si="13"/>
        <v>1947000</v>
      </c>
      <c r="AB40" s="41">
        <f t="shared" si="7"/>
        <v>35046000</v>
      </c>
      <c r="AC40" s="38"/>
      <c r="AD40" s="44">
        <f t="shared" si="2"/>
        <v>0</v>
      </c>
      <c r="AE40" s="41">
        <f t="shared" si="3"/>
        <v>50524650</v>
      </c>
      <c r="AF40" s="64">
        <f>AE40</f>
        <v>50524650</v>
      </c>
      <c r="AG40" s="45"/>
      <c r="AH40" s="46"/>
      <c r="AI40" s="46"/>
      <c r="AJ40" s="46"/>
    </row>
    <row r="41" spans="1:36" s="47" customFormat="1" ht="49.5" customHeight="1">
      <c r="A41" s="307">
        <v>9</v>
      </c>
      <c r="B41" s="33" t="s">
        <v>77</v>
      </c>
      <c r="C41" s="50"/>
      <c r="D41" s="50"/>
      <c r="E41" s="51"/>
      <c r="F41" s="34">
        <v>123</v>
      </c>
      <c r="G41" s="34">
        <v>28</v>
      </c>
      <c r="H41" s="35">
        <v>180.7</v>
      </c>
      <c r="I41" s="34" t="s">
        <v>55</v>
      </c>
      <c r="J41" s="36" t="s">
        <v>60</v>
      </c>
      <c r="K41" s="37"/>
      <c r="L41" s="38"/>
      <c r="M41" s="38">
        <v>180.7</v>
      </c>
      <c r="N41" s="38"/>
      <c r="O41" s="38"/>
      <c r="P41" s="39">
        <f t="shared" si="4"/>
        <v>180.7</v>
      </c>
      <c r="Q41" s="310">
        <f>P41+P42</f>
        <v>192.7</v>
      </c>
      <c r="R41" s="40">
        <v>55000</v>
      </c>
      <c r="S41" s="41">
        <f t="shared" si="12"/>
        <v>9938500</v>
      </c>
      <c r="T41" s="41"/>
      <c r="U41" s="42" t="s">
        <v>78</v>
      </c>
      <c r="V41" s="60">
        <v>43</v>
      </c>
      <c r="W41" s="38" t="s">
        <v>52</v>
      </c>
      <c r="X41" s="41">
        <v>118000</v>
      </c>
      <c r="Y41" s="43">
        <v>1</v>
      </c>
      <c r="Z41" s="41">
        <f t="shared" si="1"/>
        <v>5074000</v>
      </c>
      <c r="AA41" s="41">
        <f t="shared" ref="AA41:AA43" si="17">P41*7000</f>
        <v>1264900</v>
      </c>
      <c r="AB41" s="41">
        <f t="shared" si="7"/>
        <v>29815500</v>
      </c>
      <c r="AC41" s="38"/>
      <c r="AD41" s="44">
        <f t="shared" si="2"/>
        <v>0</v>
      </c>
      <c r="AE41" s="41">
        <f t="shared" si="3"/>
        <v>46092900</v>
      </c>
      <c r="AF41" s="313">
        <f>SUM(AE41:AE42)</f>
        <v>49052900</v>
      </c>
      <c r="AG41" s="45"/>
      <c r="AH41" s="46"/>
      <c r="AI41" s="46"/>
      <c r="AJ41" s="46"/>
    </row>
    <row r="42" spans="1:36" s="47" customFormat="1" ht="49.5" customHeight="1">
      <c r="A42" s="309"/>
      <c r="B42" s="33" t="s">
        <v>77</v>
      </c>
      <c r="C42" s="50"/>
      <c r="D42" s="50"/>
      <c r="E42" s="51"/>
      <c r="F42" s="34">
        <v>122</v>
      </c>
      <c r="G42" s="34">
        <v>28</v>
      </c>
      <c r="H42" s="35">
        <v>204.8</v>
      </c>
      <c r="I42" s="34" t="s">
        <v>55</v>
      </c>
      <c r="J42" s="36" t="s">
        <v>60</v>
      </c>
      <c r="K42" s="37"/>
      <c r="L42" s="38"/>
      <c r="M42" s="38">
        <v>12</v>
      </c>
      <c r="N42" s="38"/>
      <c r="O42" s="38"/>
      <c r="P42" s="39">
        <f t="shared" si="4"/>
        <v>12</v>
      </c>
      <c r="Q42" s="312"/>
      <c r="R42" s="40">
        <v>55000</v>
      </c>
      <c r="S42" s="41">
        <f t="shared" si="12"/>
        <v>660000</v>
      </c>
      <c r="T42" s="41"/>
      <c r="U42" s="42" t="s">
        <v>78</v>
      </c>
      <c r="V42" s="60">
        <v>2</v>
      </c>
      <c r="W42" s="38" t="s">
        <v>52</v>
      </c>
      <c r="X42" s="41">
        <v>118000</v>
      </c>
      <c r="Y42" s="43">
        <v>1</v>
      </c>
      <c r="Z42" s="41">
        <f t="shared" si="1"/>
        <v>236000</v>
      </c>
      <c r="AA42" s="41">
        <f t="shared" si="17"/>
        <v>84000</v>
      </c>
      <c r="AB42" s="41">
        <f t="shared" si="7"/>
        <v>1980000</v>
      </c>
      <c r="AC42" s="38"/>
      <c r="AD42" s="44">
        <f t="shared" si="2"/>
        <v>0</v>
      </c>
      <c r="AE42" s="41">
        <f t="shared" si="3"/>
        <v>2960000</v>
      </c>
      <c r="AF42" s="315"/>
      <c r="AG42" s="45"/>
      <c r="AH42" s="46"/>
      <c r="AI42" s="46"/>
      <c r="AJ42" s="46"/>
    </row>
    <row r="43" spans="1:36" s="47" customFormat="1" ht="54.75" customHeight="1">
      <c r="A43" s="307">
        <v>10</v>
      </c>
      <c r="B43" s="33" t="s">
        <v>79</v>
      </c>
      <c r="C43" s="50"/>
      <c r="D43" s="50"/>
      <c r="E43" s="51"/>
      <c r="F43" s="34">
        <v>122</v>
      </c>
      <c r="G43" s="34">
        <v>28</v>
      </c>
      <c r="H43" s="35">
        <v>204.8</v>
      </c>
      <c r="I43" s="34" t="s">
        <v>55</v>
      </c>
      <c r="J43" s="36" t="s">
        <v>60</v>
      </c>
      <c r="K43" s="37"/>
      <c r="L43" s="38"/>
      <c r="M43" s="38">
        <v>192.8</v>
      </c>
      <c r="N43" s="38"/>
      <c r="O43" s="38"/>
      <c r="P43" s="39">
        <f t="shared" si="4"/>
        <v>192.8</v>
      </c>
      <c r="Q43" s="310">
        <f>P43</f>
        <v>192.8</v>
      </c>
      <c r="R43" s="40">
        <v>55000</v>
      </c>
      <c r="S43" s="41">
        <f t="shared" si="12"/>
        <v>10604000</v>
      </c>
      <c r="T43" s="41"/>
      <c r="U43" s="42" t="s">
        <v>80</v>
      </c>
      <c r="V43" s="60">
        <v>11</v>
      </c>
      <c r="W43" s="38" t="s">
        <v>52</v>
      </c>
      <c r="X43" s="41">
        <v>1000000</v>
      </c>
      <c r="Y43" s="43">
        <v>1</v>
      </c>
      <c r="Z43" s="41">
        <f t="shared" si="1"/>
        <v>11000000</v>
      </c>
      <c r="AA43" s="41">
        <f t="shared" si="17"/>
        <v>1349600</v>
      </c>
      <c r="AB43" s="41">
        <f t="shared" si="7"/>
        <v>31812000</v>
      </c>
      <c r="AC43" s="38"/>
      <c r="AD43" s="44">
        <f t="shared" si="2"/>
        <v>0</v>
      </c>
      <c r="AE43" s="41">
        <f t="shared" ref="AE43:AE74" si="18">S43+Z43+AA43+AB43+AD43+T43</f>
        <v>54765600</v>
      </c>
      <c r="AF43" s="313">
        <f>AE43+AE44</f>
        <v>54928600</v>
      </c>
      <c r="AG43" s="50"/>
      <c r="AH43" s="46"/>
      <c r="AI43" s="46"/>
      <c r="AJ43" s="46"/>
    </row>
    <row r="44" spans="1:36" s="47" customFormat="1" ht="54.75" customHeight="1">
      <c r="A44" s="309"/>
      <c r="B44" s="33" t="s">
        <v>79</v>
      </c>
      <c r="C44" s="50"/>
      <c r="D44" s="50"/>
      <c r="E44" s="51"/>
      <c r="F44" s="34">
        <v>122</v>
      </c>
      <c r="G44" s="34">
        <v>28</v>
      </c>
      <c r="H44" s="35">
        <v>204.8</v>
      </c>
      <c r="I44" s="34" t="s">
        <v>55</v>
      </c>
      <c r="J44" s="36" t="s">
        <v>60</v>
      </c>
      <c r="K44" s="37"/>
      <c r="L44" s="38"/>
      <c r="M44" s="38"/>
      <c r="N44" s="38"/>
      <c r="O44" s="38"/>
      <c r="P44" s="39">
        <f t="shared" si="4"/>
        <v>0</v>
      </c>
      <c r="Q44" s="312"/>
      <c r="R44" s="40"/>
      <c r="S44" s="41"/>
      <c r="T44" s="41"/>
      <c r="U44" s="42" t="s">
        <v>81</v>
      </c>
      <c r="V44" s="60">
        <v>1</v>
      </c>
      <c r="W44" s="38" t="s">
        <v>52</v>
      </c>
      <c r="X44" s="41">
        <v>163000</v>
      </c>
      <c r="Y44" s="43">
        <v>1</v>
      </c>
      <c r="Z44" s="41">
        <f t="shared" si="1"/>
        <v>163000</v>
      </c>
      <c r="AA44" s="41">
        <f t="shared" ref="AA44" si="19">P44*7000</f>
        <v>0</v>
      </c>
      <c r="AB44" s="41">
        <f t="shared" ref="AB44" si="20">P44*R44*3</f>
        <v>0</v>
      </c>
      <c r="AC44" s="38"/>
      <c r="AD44" s="44">
        <f t="shared" si="2"/>
        <v>0</v>
      </c>
      <c r="AE44" s="41">
        <f t="shared" si="18"/>
        <v>163000</v>
      </c>
      <c r="AF44" s="315"/>
      <c r="AG44" s="45"/>
      <c r="AH44" s="46"/>
      <c r="AI44" s="46"/>
      <c r="AJ44" s="46"/>
    </row>
    <row r="45" spans="1:36" s="47" customFormat="1" ht="87.75" customHeight="1">
      <c r="A45" s="32">
        <v>11</v>
      </c>
      <c r="B45" s="33" t="s">
        <v>82</v>
      </c>
      <c r="C45" s="50">
        <v>7</v>
      </c>
      <c r="D45" s="50">
        <v>4</v>
      </c>
      <c r="E45" s="51">
        <v>444</v>
      </c>
      <c r="F45" s="34">
        <v>251</v>
      </c>
      <c r="G45" s="34">
        <v>21</v>
      </c>
      <c r="H45" s="35">
        <v>247.1</v>
      </c>
      <c r="I45" s="34" t="s">
        <v>45</v>
      </c>
      <c r="J45" s="36" t="s">
        <v>54</v>
      </c>
      <c r="K45" s="37">
        <v>236.9</v>
      </c>
      <c r="L45" s="38">
        <f>H45-K45</f>
        <v>10.199999999999989</v>
      </c>
      <c r="M45" s="38"/>
      <c r="N45" s="38"/>
      <c r="O45" s="38"/>
      <c r="P45" s="39">
        <f t="shared" si="4"/>
        <v>247.1</v>
      </c>
      <c r="Q45" s="63">
        <f t="shared" ref="Q45" si="21">P45</f>
        <v>247.1</v>
      </c>
      <c r="R45" s="40">
        <v>60000</v>
      </c>
      <c r="S45" s="41">
        <f t="shared" ref="S45:S47" si="22">P45*R45</f>
        <v>14826000</v>
      </c>
      <c r="T45" s="41"/>
      <c r="U45" s="42" t="s">
        <v>47</v>
      </c>
      <c r="V45" s="66">
        <f t="shared" si="8"/>
        <v>247.1</v>
      </c>
      <c r="W45" s="38" t="s">
        <v>48</v>
      </c>
      <c r="X45" s="41">
        <v>9500</v>
      </c>
      <c r="Y45" s="43">
        <v>1</v>
      </c>
      <c r="Z45" s="41">
        <f t="shared" si="1"/>
        <v>2347450</v>
      </c>
      <c r="AA45" s="41">
        <f t="shared" ref="AA45:AA47" si="23">P45*10000</f>
        <v>2471000</v>
      </c>
      <c r="AB45" s="41">
        <f t="shared" si="7"/>
        <v>44478000</v>
      </c>
      <c r="AC45" s="38"/>
      <c r="AD45" s="44">
        <f t="shared" si="2"/>
        <v>0</v>
      </c>
      <c r="AE45" s="41">
        <f t="shared" si="18"/>
        <v>64122450</v>
      </c>
      <c r="AF45" s="64">
        <f>AE45</f>
        <v>64122450</v>
      </c>
      <c r="AG45" s="45" t="s">
        <v>83</v>
      </c>
      <c r="AH45" s="46"/>
      <c r="AI45" s="46"/>
      <c r="AJ45" s="46"/>
    </row>
    <row r="46" spans="1:36" s="47" customFormat="1" ht="56.25" customHeight="1">
      <c r="A46" s="307">
        <v>12</v>
      </c>
      <c r="B46" s="33" t="s">
        <v>84</v>
      </c>
      <c r="C46" s="50">
        <v>205</v>
      </c>
      <c r="D46" s="50">
        <v>5</v>
      </c>
      <c r="E46" s="51">
        <v>192</v>
      </c>
      <c r="F46" s="34">
        <v>88</v>
      </c>
      <c r="G46" s="34">
        <v>28</v>
      </c>
      <c r="H46" s="35">
        <v>239.2</v>
      </c>
      <c r="I46" s="34" t="s">
        <v>49</v>
      </c>
      <c r="J46" s="36" t="s">
        <v>50</v>
      </c>
      <c r="K46" s="37">
        <f>E46</f>
        <v>192</v>
      </c>
      <c r="L46" s="38">
        <f>H46-E46</f>
        <v>47.199999999999989</v>
      </c>
      <c r="M46" s="38"/>
      <c r="N46" s="38"/>
      <c r="O46" s="38"/>
      <c r="P46" s="39">
        <f t="shared" si="4"/>
        <v>239.2</v>
      </c>
      <c r="Q46" s="310">
        <f>SUM(P46:P54)</f>
        <v>1030.7</v>
      </c>
      <c r="R46" s="40">
        <v>60000</v>
      </c>
      <c r="S46" s="41">
        <f t="shared" si="22"/>
        <v>14352000</v>
      </c>
      <c r="T46" s="41"/>
      <c r="U46" s="42" t="s">
        <v>85</v>
      </c>
      <c r="V46" s="66">
        <v>239.2</v>
      </c>
      <c r="W46" s="38" t="s">
        <v>48</v>
      </c>
      <c r="X46" s="41">
        <v>43000</v>
      </c>
      <c r="Y46" s="43">
        <v>1</v>
      </c>
      <c r="Z46" s="41">
        <f t="shared" si="1"/>
        <v>10285600</v>
      </c>
      <c r="AA46" s="41">
        <f t="shared" si="23"/>
        <v>2392000</v>
      </c>
      <c r="AB46" s="41">
        <f t="shared" si="7"/>
        <v>43056000</v>
      </c>
      <c r="AC46" s="38">
        <v>2</v>
      </c>
      <c r="AD46" s="44">
        <f t="shared" si="2"/>
        <v>7000000</v>
      </c>
      <c r="AE46" s="41">
        <f t="shared" si="18"/>
        <v>77085600</v>
      </c>
      <c r="AF46" s="313">
        <f>SUM(AE46:AE54)</f>
        <v>308989550</v>
      </c>
      <c r="AG46" s="45"/>
      <c r="AH46" s="46"/>
      <c r="AI46" s="46"/>
      <c r="AJ46" s="46"/>
    </row>
    <row r="47" spans="1:36" s="47" customFormat="1" ht="56.25" customHeight="1">
      <c r="A47" s="308"/>
      <c r="B47" s="33" t="s">
        <v>84</v>
      </c>
      <c r="C47" s="50">
        <v>122</v>
      </c>
      <c r="D47" s="50">
        <v>4</v>
      </c>
      <c r="E47" s="51">
        <v>216</v>
      </c>
      <c r="F47" s="34">
        <v>474</v>
      </c>
      <c r="G47" s="34">
        <v>28</v>
      </c>
      <c r="H47" s="35">
        <v>196.9</v>
      </c>
      <c r="I47" s="34" t="s">
        <v>49</v>
      </c>
      <c r="J47" s="36" t="s">
        <v>57</v>
      </c>
      <c r="K47" s="37">
        <v>196.9</v>
      </c>
      <c r="L47" s="38"/>
      <c r="M47" s="38"/>
      <c r="N47" s="38"/>
      <c r="O47" s="38"/>
      <c r="P47" s="39">
        <f t="shared" si="4"/>
        <v>196.9</v>
      </c>
      <c r="Q47" s="311"/>
      <c r="R47" s="40">
        <v>60000</v>
      </c>
      <c r="S47" s="41">
        <f t="shared" si="22"/>
        <v>11814000</v>
      </c>
      <c r="T47" s="41"/>
      <c r="U47" s="42" t="s">
        <v>86</v>
      </c>
      <c r="V47" s="66">
        <v>88.9</v>
      </c>
      <c r="W47" s="38" t="s">
        <v>48</v>
      </c>
      <c r="X47" s="41">
        <v>9500</v>
      </c>
      <c r="Y47" s="43">
        <v>1</v>
      </c>
      <c r="Z47" s="41">
        <f t="shared" si="1"/>
        <v>844550</v>
      </c>
      <c r="AA47" s="41">
        <f t="shared" si="23"/>
        <v>1969000</v>
      </c>
      <c r="AB47" s="41">
        <f t="shared" si="7"/>
        <v>35442000</v>
      </c>
      <c r="AC47" s="38"/>
      <c r="AD47" s="44">
        <f t="shared" si="2"/>
        <v>0</v>
      </c>
      <c r="AE47" s="41">
        <f t="shared" si="18"/>
        <v>50069550</v>
      </c>
      <c r="AF47" s="314"/>
      <c r="AG47" s="45"/>
      <c r="AH47" s="46"/>
      <c r="AI47" s="46"/>
      <c r="AJ47" s="46"/>
    </row>
    <row r="48" spans="1:36" s="47" customFormat="1" ht="56.25" customHeight="1">
      <c r="A48" s="308"/>
      <c r="B48" s="33" t="s">
        <v>84</v>
      </c>
      <c r="C48" s="50"/>
      <c r="D48" s="50"/>
      <c r="E48" s="51"/>
      <c r="F48" s="34">
        <v>474</v>
      </c>
      <c r="G48" s="34">
        <v>28</v>
      </c>
      <c r="H48" s="35">
        <v>196.9</v>
      </c>
      <c r="I48" s="34" t="s">
        <v>49</v>
      </c>
      <c r="J48" s="36" t="s">
        <v>57</v>
      </c>
      <c r="K48" s="37"/>
      <c r="L48" s="38"/>
      <c r="M48" s="38"/>
      <c r="N48" s="38"/>
      <c r="O48" s="38"/>
      <c r="P48" s="39">
        <f t="shared" si="4"/>
        <v>0</v>
      </c>
      <c r="Q48" s="311"/>
      <c r="R48" s="40"/>
      <c r="S48" s="41"/>
      <c r="T48" s="41"/>
      <c r="U48" s="42" t="s">
        <v>85</v>
      </c>
      <c r="V48" s="66">
        <v>11</v>
      </c>
      <c r="W48" s="38" t="s">
        <v>48</v>
      </c>
      <c r="X48" s="41"/>
      <c r="Y48" s="43">
        <v>0</v>
      </c>
      <c r="Z48" s="41">
        <f t="shared" si="1"/>
        <v>0</v>
      </c>
      <c r="AA48" s="41">
        <f t="shared" si="13"/>
        <v>0</v>
      </c>
      <c r="AB48" s="41">
        <f t="shared" si="7"/>
        <v>0</v>
      </c>
      <c r="AC48" s="38"/>
      <c r="AD48" s="44">
        <f t="shared" si="2"/>
        <v>0</v>
      </c>
      <c r="AE48" s="41">
        <f t="shared" si="18"/>
        <v>0</v>
      </c>
      <c r="AF48" s="314"/>
      <c r="AG48" s="45" t="s">
        <v>70</v>
      </c>
      <c r="AH48" s="46"/>
      <c r="AI48" s="46"/>
      <c r="AJ48" s="46"/>
    </row>
    <row r="49" spans="1:36" s="47" customFormat="1" ht="56.25" customHeight="1">
      <c r="A49" s="308"/>
      <c r="B49" s="33" t="s">
        <v>84</v>
      </c>
      <c r="C49" s="50"/>
      <c r="D49" s="50"/>
      <c r="E49" s="51"/>
      <c r="F49" s="34">
        <v>474</v>
      </c>
      <c r="G49" s="34">
        <v>28</v>
      </c>
      <c r="H49" s="35">
        <v>196.9</v>
      </c>
      <c r="I49" s="34" t="s">
        <v>49</v>
      </c>
      <c r="J49" s="36" t="s">
        <v>57</v>
      </c>
      <c r="K49" s="37"/>
      <c r="L49" s="38"/>
      <c r="M49" s="38"/>
      <c r="N49" s="38"/>
      <c r="O49" s="38"/>
      <c r="P49" s="39">
        <f t="shared" si="4"/>
        <v>0</v>
      </c>
      <c r="Q49" s="311"/>
      <c r="R49" s="40"/>
      <c r="S49" s="41"/>
      <c r="T49" s="41"/>
      <c r="U49" s="42" t="s">
        <v>87</v>
      </c>
      <c r="V49" s="60">
        <v>9</v>
      </c>
      <c r="W49" s="38" t="s">
        <v>52</v>
      </c>
      <c r="X49" s="41">
        <v>1091000</v>
      </c>
      <c r="Y49" s="43">
        <v>0.8</v>
      </c>
      <c r="Z49" s="41">
        <f t="shared" si="1"/>
        <v>7855200</v>
      </c>
      <c r="AA49" s="41">
        <f t="shared" si="13"/>
        <v>0</v>
      </c>
      <c r="AB49" s="41">
        <f t="shared" si="7"/>
        <v>0</v>
      </c>
      <c r="AC49" s="38"/>
      <c r="AD49" s="44">
        <f t="shared" si="2"/>
        <v>0</v>
      </c>
      <c r="AE49" s="41">
        <f t="shared" si="18"/>
        <v>7855200</v>
      </c>
      <c r="AF49" s="314"/>
      <c r="AG49" s="45"/>
      <c r="AH49" s="46"/>
      <c r="AI49" s="46"/>
      <c r="AJ49" s="46"/>
    </row>
    <row r="50" spans="1:36" s="47" customFormat="1" ht="56.25" customHeight="1">
      <c r="A50" s="308"/>
      <c r="B50" s="33" t="s">
        <v>84</v>
      </c>
      <c r="C50" s="50">
        <v>192</v>
      </c>
      <c r="D50" s="50">
        <v>4</v>
      </c>
      <c r="E50" s="51">
        <v>132</v>
      </c>
      <c r="F50" s="34">
        <v>475</v>
      </c>
      <c r="G50" s="34">
        <v>28</v>
      </c>
      <c r="H50" s="35">
        <v>105.4</v>
      </c>
      <c r="I50" s="34" t="s">
        <v>49</v>
      </c>
      <c r="J50" s="36" t="s">
        <v>57</v>
      </c>
      <c r="K50" s="37">
        <v>82.3</v>
      </c>
      <c r="L50" s="38">
        <v>23.1</v>
      </c>
      <c r="M50" s="38"/>
      <c r="N50" s="38"/>
      <c r="O50" s="38"/>
      <c r="P50" s="39">
        <f t="shared" si="4"/>
        <v>105.4</v>
      </c>
      <c r="Q50" s="311"/>
      <c r="R50" s="40">
        <v>60000</v>
      </c>
      <c r="S50" s="41">
        <f t="shared" ref="S50:S51" si="24">P50*R50</f>
        <v>6324000</v>
      </c>
      <c r="T50" s="41"/>
      <c r="U50" s="42" t="s">
        <v>87</v>
      </c>
      <c r="V50" s="66">
        <v>8</v>
      </c>
      <c r="W50" s="38" t="s">
        <v>52</v>
      </c>
      <c r="X50" s="41">
        <v>1091000</v>
      </c>
      <c r="Y50" s="43">
        <v>0.8</v>
      </c>
      <c r="Z50" s="41">
        <f t="shared" si="1"/>
        <v>6982400</v>
      </c>
      <c r="AA50" s="41">
        <f t="shared" si="13"/>
        <v>1054000</v>
      </c>
      <c r="AB50" s="41">
        <f t="shared" si="7"/>
        <v>18972000</v>
      </c>
      <c r="AC50" s="38"/>
      <c r="AD50" s="44">
        <f t="shared" si="2"/>
        <v>0</v>
      </c>
      <c r="AE50" s="41">
        <f t="shared" si="18"/>
        <v>33332400</v>
      </c>
      <c r="AF50" s="314"/>
      <c r="AG50" s="45"/>
      <c r="AH50" s="46"/>
      <c r="AI50" s="46"/>
      <c r="AJ50" s="46"/>
    </row>
    <row r="51" spans="1:36" s="47" customFormat="1" ht="56.25" customHeight="1">
      <c r="A51" s="308"/>
      <c r="B51" s="33" t="s">
        <v>84</v>
      </c>
      <c r="C51" s="50">
        <v>192</v>
      </c>
      <c r="D51" s="50">
        <v>4</v>
      </c>
      <c r="E51" s="51">
        <v>132</v>
      </c>
      <c r="F51" s="34">
        <v>475</v>
      </c>
      <c r="G51" s="34">
        <v>28</v>
      </c>
      <c r="H51" s="35">
        <v>105.4</v>
      </c>
      <c r="I51" s="34" t="s">
        <v>49</v>
      </c>
      <c r="J51" s="36" t="s">
        <v>57</v>
      </c>
      <c r="K51" s="37"/>
      <c r="L51" s="38"/>
      <c r="M51" s="38"/>
      <c r="N51" s="38"/>
      <c r="O51" s="38"/>
      <c r="P51" s="39">
        <f t="shared" si="4"/>
        <v>0</v>
      </c>
      <c r="Q51" s="311"/>
      <c r="R51" s="40">
        <v>60000</v>
      </c>
      <c r="S51" s="41">
        <f t="shared" si="24"/>
        <v>0</v>
      </c>
      <c r="T51" s="41"/>
      <c r="U51" s="42" t="s">
        <v>88</v>
      </c>
      <c r="V51" s="66">
        <v>1</v>
      </c>
      <c r="W51" s="38" t="s">
        <v>52</v>
      </c>
      <c r="X51" s="41">
        <v>623000</v>
      </c>
      <c r="Y51" s="43">
        <v>0.8</v>
      </c>
      <c r="Z51" s="41">
        <f t="shared" si="1"/>
        <v>498400</v>
      </c>
      <c r="AA51" s="41">
        <f t="shared" si="13"/>
        <v>0</v>
      </c>
      <c r="AB51" s="41">
        <f t="shared" si="7"/>
        <v>0</v>
      </c>
      <c r="AC51" s="38"/>
      <c r="AD51" s="44">
        <f t="shared" si="2"/>
        <v>0</v>
      </c>
      <c r="AE51" s="41">
        <f t="shared" si="18"/>
        <v>498400</v>
      </c>
      <c r="AF51" s="314"/>
      <c r="AG51" s="45" t="s">
        <v>89</v>
      </c>
      <c r="AH51" s="46"/>
      <c r="AI51" s="46"/>
      <c r="AJ51" s="46"/>
    </row>
    <row r="52" spans="1:36" s="47" customFormat="1" ht="56.25" customHeight="1">
      <c r="A52" s="308"/>
      <c r="B52" s="33" t="s">
        <v>84</v>
      </c>
      <c r="C52" s="50"/>
      <c r="D52" s="50"/>
      <c r="E52" s="51"/>
      <c r="F52" s="34">
        <v>235</v>
      </c>
      <c r="G52" s="34">
        <v>21</v>
      </c>
      <c r="H52" s="35">
        <v>142.19999999999999</v>
      </c>
      <c r="I52" s="34" t="s">
        <v>49</v>
      </c>
      <c r="J52" s="36" t="s">
        <v>54</v>
      </c>
      <c r="K52" s="37"/>
      <c r="L52" s="38"/>
      <c r="M52" s="38">
        <v>142.19999999999999</v>
      </c>
      <c r="N52" s="38"/>
      <c r="O52" s="38"/>
      <c r="P52" s="39">
        <f t="shared" si="4"/>
        <v>142.19999999999999</v>
      </c>
      <c r="Q52" s="311"/>
      <c r="R52" s="40">
        <v>55000</v>
      </c>
      <c r="S52" s="41">
        <f t="shared" si="12"/>
        <v>7820999.9999999991</v>
      </c>
      <c r="T52" s="41"/>
      <c r="U52" s="42" t="s">
        <v>90</v>
      </c>
      <c r="V52" s="60">
        <v>28</v>
      </c>
      <c r="W52" s="38" t="s">
        <v>52</v>
      </c>
      <c r="X52" s="41">
        <v>300000</v>
      </c>
      <c r="Y52" s="43">
        <v>1</v>
      </c>
      <c r="Z52" s="41">
        <f t="shared" si="1"/>
        <v>8400000</v>
      </c>
      <c r="AA52" s="41">
        <f t="shared" ref="AA52:AA54" si="25">P52*7000</f>
        <v>995399.99999999988</v>
      </c>
      <c r="AB52" s="41">
        <f t="shared" si="7"/>
        <v>23462999.999999996</v>
      </c>
      <c r="AC52" s="38"/>
      <c r="AD52" s="44">
        <f t="shared" si="2"/>
        <v>0</v>
      </c>
      <c r="AE52" s="41">
        <f t="shared" si="18"/>
        <v>40679400</v>
      </c>
      <c r="AF52" s="314"/>
      <c r="AG52" s="45"/>
      <c r="AH52" s="46"/>
      <c r="AI52" s="46"/>
      <c r="AJ52" s="46"/>
    </row>
    <row r="53" spans="1:36" s="47" customFormat="1" ht="56.25" customHeight="1">
      <c r="A53" s="308"/>
      <c r="B53" s="33" t="s">
        <v>84</v>
      </c>
      <c r="C53" s="50"/>
      <c r="D53" s="50"/>
      <c r="E53" s="51"/>
      <c r="F53" s="34">
        <v>200</v>
      </c>
      <c r="G53" s="34">
        <v>21</v>
      </c>
      <c r="H53" s="35">
        <v>206</v>
      </c>
      <c r="I53" s="34" t="s">
        <v>55</v>
      </c>
      <c r="J53" s="36" t="s">
        <v>54</v>
      </c>
      <c r="K53" s="37"/>
      <c r="L53" s="38"/>
      <c r="M53" s="38">
        <v>206</v>
      </c>
      <c r="N53" s="38"/>
      <c r="O53" s="38"/>
      <c r="P53" s="39">
        <f t="shared" si="4"/>
        <v>206</v>
      </c>
      <c r="Q53" s="311"/>
      <c r="R53" s="40">
        <v>55000</v>
      </c>
      <c r="S53" s="41">
        <f t="shared" si="12"/>
        <v>11330000</v>
      </c>
      <c r="T53" s="41"/>
      <c r="U53" s="42" t="s">
        <v>90</v>
      </c>
      <c r="V53" s="60">
        <v>41</v>
      </c>
      <c r="W53" s="38" t="s">
        <v>52</v>
      </c>
      <c r="X53" s="41">
        <v>300000</v>
      </c>
      <c r="Y53" s="43">
        <v>1</v>
      </c>
      <c r="Z53" s="41">
        <f t="shared" si="1"/>
        <v>12300000</v>
      </c>
      <c r="AA53" s="41">
        <f t="shared" si="25"/>
        <v>1442000</v>
      </c>
      <c r="AB53" s="41">
        <f t="shared" si="7"/>
        <v>33990000</v>
      </c>
      <c r="AC53" s="38"/>
      <c r="AD53" s="44">
        <f t="shared" si="2"/>
        <v>0</v>
      </c>
      <c r="AE53" s="41">
        <f t="shared" si="18"/>
        <v>59062000</v>
      </c>
      <c r="AF53" s="314"/>
      <c r="AG53" s="45"/>
      <c r="AH53" s="46"/>
      <c r="AI53" s="46"/>
      <c r="AJ53" s="46"/>
    </row>
    <row r="54" spans="1:36" s="47" customFormat="1" ht="56.25" customHeight="1">
      <c r="A54" s="309"/>
      <c r="B54" s="33" t="s">
        <v>84</v>
      </c>
      <c r="C54" s="50"/>
      <c r="D54" s="50"/>
      <c r="E54" s="51"/>
      <c r="F54" s="34">
        <v>199</v>
      </c>
      <c r="G54" s="34">
        <v>21</v>
      </c>
      <c r="H54" s="35">
        <v>141</v>
      </c>
      <c r="I54" s="34" t="s">
        <v>55</v>
      </c>
      <c r="J54" s="36" t="s">
        <v>54</v>
      </c>
      <c r="K54" s="37"/>
      <c r="L54" s="38"/>
      <c r="M54" s="38">
        <v>141</v>
      </c>
      <c r="N54" s="38"/>
      <c r="O54" s="38"/>
      <c r="P54" s="39">
        <f t="shared" si="4"/>
        <v>141</v>
      </c>
      <c r="Q54" s="312"/>
      <c r="R54" s="40">
        <v>55000</v>
      </c>
      <c r="S54" s="41">
        <f t="shared" si="12"/>
        <v>7755000</v>
      </c>
      <c r="T54" s="41"/>
      <c r="U54" s="42" t="s">
        <v>90</v>
      </c>
      <c r="V54" s="60">
        <v>28</v>
      </c>
      <c r="W54" s="38" t="s">
        <v>52</v>
      </c>
      <c r="X54" s="41">
        <v>300000</v>
      </c>
      <c r="Y54" s="43">
        <v>1</v>
      </c>
      <c r="Z54" s="41">
        <f t="shared" si="1"/>
        <v>8400000</v>
      </c>
      <c r="AA54" s="41">
        <f t="shared" si="25"/>
        <v>987000</v>
      </c>
      <c r="AB54" s="41">
        <f t="shared" si="7"/>
        <v>23265000</v>
      </c>
      <c r="AC54" s="38"/>
      <c r="AD54" s="44">
        <f t="shared" si="2"/>
        <v>0</v>
      </c>
      <c r="AE54" s="41">
        <f t="shared" si="18"/>
        <v>40407000</v>
      </c>
      <c r="AF54" s="315"/>
      <c r="AG54" s="45"/>
      <c r="AH54" s="46"/>
      <c r="AI54" s="46"/>
      <c r="AJ54" s="46"/>
    </row>
    <row r="55" spans="1:36" s="47" customFormat="1" ht="56.25" customHeight="1">
      <c r="A55" s="307">
        <v>13</v>
      </c>
      <c r="B55" s="65" t="s">
        <v>91</v>
      </c>
      <c r="C55" s="50"/>
      <c r="D55" s="50"/>
      <c r="E55" s="51"/>
      <c r="F55" s="34">
        <v>126</v>
      </c>
      <c r="G55" s="34">
        <v>28</v>
      </c>
      <c r="H55" s="35">
        <v>117.6</v>
      </c>
      <c r="I55" s="34" t="s">
        <v>55</v>
      </c>
      <c r="J55" s="36" t="s">
        <v>60</v>
      </c>
      <c r="K55" s="37"/>
      <c r="L55" s="38">
        <f>H55-E55</f>
        <v>117.6</v>
      </c>
      <c r="M55" s="38"/>
      <c r="N55" s="38"/>
      <c r="O55" s="38"/>
      <c r="P55" s="39">
        <f t="shared" si="4"/>
        <v>117.6</v>
      </c>
      <c r="Q55" s="310">
        <f>P55</f>
        <v>117.6</v>
      </c>
      <c r="R55" s="40">
        <v>60000</v>
      </c>
      <c r="S55" s="41">
        <f>P55*R55</f>
        <v>7056000</v>
      </c>
      <c r="T55" s="41"/>
      <c r="U55" s="42" t="s">
        <v>47</v>
      </c>
      <c r="V55" s="66">
        <f t="shared" ref="V55" si="26">P55</f>
        <v>117.6</v>
      </c>
      <c r="W55" s="38" t="s">
        <v>48</v>
      </c>
      <c r="X55" s="41">
        <v>9500</v>
      </c>
      <c r="Y55" s="43">
        <v>1</v>
      </c>
      <c r="Z55" s="41">
        <f t="shared" si="1"/>
        <v>1117200</v>
      </c>
      <c r="AA55" s="41">
        <f>P55*10000</f>
        <v>1176000</v>
      </c>
      <c r="AB55" s="41">
        <f t="shared" si="7"/>
        <v>21168000</v>
      </c>
      <c r="AC55" s="38"/>
      <c r="AD55" s="44">
        <f t="shared" si="2"/>
        <v>0</v>
      </c>
      <c r="AE55" s="41">
        <f t="shared" si="18"/>
        <v>30517200</v>
      </c>
      <c r="AF55" s="313">
        <f>AE55</f>
        <v>30517200</v>
      </c>
      <c r="AG55" s="45"/>
      <c r="AH55" s="46"/>
      <c r="AI55" s="46"/>
      <c r="AJ55" s="46"/>
    </row>
    <row r="56" spans="1:36" s="47" customFormat="1" ht="66.599999999999994" customHeight="1">
      <c r="A56" s="309"/>
      <c r="B56" s="65" t="s">
        <v>91</v>
      </c>
      <c r="C56" s="50"/>
      <c r="D56" s="50"/>
      <c r="E56" s="51"/>
      <c r="F56" s="34">
        <v>126</v>
      </c>
      <c r="G56" s="34">
        <v>28</v>
      </c>
      <c r="H56" s="35">
        <v>117.6</v>
      </c>
      <c r="I56" s="34" t="s">
        <v>55</v>
      </c>
      <c r="J56" s="36" t="s">
        <v>60</v>
      </c>
      <c r="K56" s="37"/>
      <c r="L56" s="38"/>
      <c r="M56" s="38"/>
      <c r="N56" s="38"/>
      <c r="O56" s="38"/>
      <c r="P56" s="39">
        <f t="shared" si="4"/>
        <v>0</v>
      </c>
      <c r="Q56" s="312"/>
      <c r="R56" s="40"/>
      <c r="S56" s="41">
        <f t="shared" si="12"/>
        <v>0</v>
      </c>
      <c r="T56" s="41"/>
      <c r="U56" s="42" t="s">
        <v>65</v>
      </c>
      <c r="V56" s="66">
        <f t="shared" si="8"/>
        <v>0</v>
      </c>
      <c r="W56" s="38" t="s">
        <v>48</v>
      </c>
      <c r="X56" s="41"/>
      <c r="Y56" s="43">
        <v>0</v>
      </c>
      <c r="Z56" s="41">
        <f t="shared" si="1"/>
        <v>0</v>
      </c>
      <c r="AA56" s="41">
        <f t="shared" si="13"/>
        <v>0</v>
      </c>
      <c r="AB56" s="41">
        <f t="shared" si="7"/>
        <v>0</v>
      </c>
      <c r="AC56" s="38"/>
      <c r="AD56" s="44">
        <f t="shared" si="2"/>
        <v>0</v>
      </c>
      <c r="AE56" s="41">
        <f t="shared" si="18"/>
        <v>0</v>
      </c>
      <c r="AF56" s="315"/>
      <c r="AG56" s="45" t="s">
        <v>70</v>
      </c>
      <c r="AH56" s="46"/>
      <c r="AI56" s="46"/>
      <c r="AJ56" s="46"/>
    </row>
    <row r="57" spans="1:36" s="47" customFormat="1" ht="54" customHeight="1">
      <c r="A57" s="307">
        <v>14</v>
      </c>
      <c r="B57" s="33" t="s">
        <v>92</v>
      </c>
      <c r="C57" s="50">
        <v>21</v>
      </c>
      <c r="D57" s="50">
        <v>4</v>
      </c>
      <c r="E57" s="51">
        <v>600</v>
      </c>
      <c r="F57" s="34">
        <v>193</v>
      </c>
      <c r="G57" s="34">
        <v>28</v>
      </c>
      <c r="H57" s="35">
        <v>720.4</v>
      </c>
      <c r="I57" s="34" t="s">
        <v>45</v>
      </c>
      <c r="J57" s="36" t="s">
        <v>60</v>
      </c>
      <c r="K57" s="37">
        <f>E57</f>
        <v>600</v>
      </c>
      <c r="L57" s="38">
        <f>720.4-600</f>
        <v>120.39999999999998</v>
      </c>
      <c r="M57" s="38"/>
      <c r="N57" s="38"/>
      <c r="O57" s="38"/>
      <c r="P57" s="39">
        <f t="shared" si="4"/>
        <v>720.4</v>
      </c>
      <c r="Q57" s="310">
        <f>SUM(P57:P59)</f>
        <v>811.1</v>
      </c>
      <c r="R57" s="40">
        <v>60000</v>
      </c>
      <c r="S57" s="41">
        <f>P57*R57</f>
        <v>43224000</v>
      </c>
      <c r="T57" s="41"/>
      <c r="U57" s="42" t="s">
        <v>47</v>
      </c>
      <c r="V57" s="66">
        <f t="shared" si="8"/>
        <v>720.4</v>
      </c>
      <c r="W57" s="38" t="s">
        <v>48</v>
      </c>
      <c r="X57" s="41">
        <v>9500</v>
      </c>
      <c r="Y57" s="43">
        <v>1</v>
      </c>
      <c r="Z57" s="41">
        <f t="shared" si="1"/>
        <v>6843800</v>
      </c>
      <c r="AA57" s="41">
        <f>P57*10000</f>
        <v>7204000</v>
      </c>
      <c r="AB57" s="41">
        <f t="shared" si="7"/>
        <v>129672000</v>
      </c>
      <c r="AC57" s="38">
        <v>1</v>
      </c>
      <c r="AD57" s="44">
        <f t="shared" si="2"/>
        <v>3500000</v>
      </c>
      <c r="AE57" s="41">
        <f t="shared" si="18"/>
        <v>190443800</v>
      </c>
      <c r="AF57" s="313">
        <f>SUM(AE57:AE59)</f>
        <v>214292700</v>
      </c>
      <c r="AG57" s="45"/>
      <c r="AH57" s="46"/>
      <c r="AI57" s="46"/>
      <c r="AJ57" s="46"/>
    </row>
    <row r="58" spans="1:36" s="47" customFormat="1" ht="54" customHeight="1">
      <c r="A58" s="308"/>
      <c r="B58" s="33" t="s">
        <v>92</v>
      </c>
      <c r="C58" s="50"/>
      <c r="D58" s="50"/>
      <c r="E58" s="51"/>
      <c r="F58" s="34">
        <v>101</v>
      </c>
      <c r="G58" s="34">
        <v>28</v>
      </c>
      <c r="H58" s="35">
        <v>90.7</v>
      </c>
      <c r="I58" s="34" t="s">
        <v>55</v>
      </c>
      <c r="J58" s="36" t="s">
        <v>56</v>
      </c>
      <c r="K58" s="37"/>
      <c r="L58" s="38"/>
      <c r="M58" s="38">
        <v>90.7</v>
      </c>
      <c r="N58" s="38"/>
      <c r="O58" s="38"/>
      <c r="P58" s="39">
        <f t="shared" si="4"/>
        <v>90.7</v>
      </c>
      <c r="Q58" s="311"/>
      <c r="R58" s="40">
        <v>55000</v>
      </c>
      <c r="S58" s="41">
        <f>P58*R58</f>
        <v>4988500</v>
      </c>
      <c r="T58" s="41"/>
      <c r="U58" s="42" t="s">
        <v>93</v>
      </c>
      <c r="V58" s="60">
        <v>20</v>
      </c>
      <c r="W58" s="38" t="s">
        <v>52</v>
      </c>
      <c r="X58" s="41">
        <v>163000</v>
      </c>
      <c r="Y58" s="43">
        <v>1</v>
      </c>
      <c r="Z58" s="41">
        <f t="shared" si="1"/>
        <v>3260000</v>
      </c>
      <c r="AA58" s="41">
        <f>P58*7000</f>
        <v>634900</v>
      </c>
      <c r="AB58" s="41">
        <f>P58*R58*3</f>
        <v>14965500</v>
      </c>
      <c r="AC58" s="38"/>
      <c r="AD58" s="44">
        <f t="shared" si="2"/>
        <v>0</v>
      </c>
      <c r="AE58" s="41">
        <f t="shared" si="18"/>
        <v>23848900</v>
      </c>
      <c r="AF58" s="314"/>
      <c r="AG58" s="45"/>
      <c r="AH58" s="46"/>
      <c r="AI58" s="46"/>
      <c r="AJ58" s="46"/>
    </row>
    <row r="59" spans="1:36" s="47" customFormat="1" ht="54" customHeight="1">
      <c r="A59" s="309"/>
      <c r="B59" s="33" t="s">
        <v>92</v>
      </c>
      <c r="C59" s="50"/>
      <c r="D59" s="50"/>
      <c r="E59" s="51"/>
      <c r="F59" s="34">
        <v>101</v>
      </c>
      <c r="G59" s="34">
        <v>28</v>
      </c>
      <c r="H59" s="35">
        <v>90.7</v>
      </c>
      <c r="I59" s="34" t="s">
        <v>55</v>
      </c>
      <c r="J59" s="36" t="s">
        <v>56</v>
      </c>
      <c r="K59" s="37"/>
      <c r="L59" s="38"/>
      <c r="M59" s="38"/>
      <c r="N59" s="38"/>
      <c r="O59" s="38"/>
      <c r="P59" s="39">
        <f t="shared" si="4"/>
        <v>0</v>
      </c>
      <c r="Q59" s="312"/>
      <c r="R59" s="40"/>
      <c r="S59" s="41">
        <f t="shared" si="12"/>
        <v>0</v>
      </c>
      <c r="T59" s="41"/>
      <c r="U59" s="42" t="s">
        <v>93</v>
      </c>
      <c r="V59" s="60">
        <v>10</v>
      </c>
      <c r="W59" s="38" t="s">
        <v>52</v>
      </c>
      <c r="X59" s="41">
        <v>163000</v>
      </c>
      <c r="Y59" s="43">
        <v>0</v>
      </c>
      <c r="Z59" s="41">
        <f t="shared" si="1"/>
        <v>0</v>
      </c>
      <c r="AA59" s="41">
        <f t="shared" si="13"/>
        <v>0</v>
      </c>
      <c r="AB59" s="41">
        <f t="shared" si="7"/>
        <v>0</v>
      </c>
      <c r="AC59" s="38"/>
      <c r="AD59" s="44">
        <f t="shared" si="2"/>
        <v>0</v>
      </c>
      <c r="AE59" s="41">
        <f t="shared" si="18"/>
        <v>0</v>
      </c>
      <c r="AF59" s="315"/>
      <c r="AG59" s="50" t="s">
        <v>53</v>
      </c>
      <c r="AH59" s="46"/>
      <c r="AI59" s="46"/>
      <c r="AJ59" s="46"/>
    </row>
    <row r="60" spans="1:36" s="47" customFormat="1" ht="54" customHeight="1">
      <c r="A60" s="307">
        <v>15</v>
      </c>
      <c r="B60" s="33" t="s">
        <v>94</v>
      </c>
      <c r="C60" s="50"/>
      <c r="D60" s="50"/>
      <c r="E60" s="51"/>
      <c r="F60" s="34" t="s">
        <v>95</v>
      </c>
      <c r="G60" s="34" t="s">
        <v>96</v>
      </c>
      <c r="H60" s="35">
        <v>496.9</v>
      </c>
      <c r="I60" s="34" t="s">
        <v>45</v>
      </c>
      <c r="J60" s="36" t="s">
        <v>54</v>
      </c>
      <c r="K60" s="37"/>
      <c r="L60" s="38">
        <v>496.9</v>
      </c>
      <c r="M60" s="38"/>
      <c r="N60" s="38"/>
      <c r="O60" s="38"/>
      <c r="P60" s="39">
        <f t="shared" si="4"/>
        <v>496.9</v>
      </c>
      <c r="Q60" s="310">
        <f>SUM(P60:P64)</f>
        <v>839.4</v>
      </c>
      <c r="R60" s="40">
        <v>60000</v>
      </c>
      <c r="S60" s="41">
        <f t="shared" si="12"/>
        <v>29814000</v>
      </c>
      <c r="T60" s="41"/>
      <c r="U60" s="42" t="s">
        <v>97</v>
      </c>
      <c r="V60" s="66">
        <f t="shared" si="8"/>
        <v>496.9</v>
      </c>
      <c r="W60" s="38" t="s">
        <v>48</v>
      </c>
      <c r="X60" s="41">
        <v>58300</v>
      </c>
      <c r="Y60" s="43">
        <v>1</v>
      </c>
      <c r="Z60" s="41">
        <f t="shared" si="1"/>
        <v>28969270</v>
      </c>
      <c r="AA60" s="41">
        <f t="shared" si="13"/>
        <v>4969000</v>
      </c>
      <c r="AB60" s="41">
        <f t="shared" si="7"/>
        <v>89442000</v>
      </c>
      <c r="AC60" s="38">
        <v>1</v>
      </c>
      <c r="AD60" s="44">
        <f t="shared" si="2"/>
        <v>3500000</v>
      </c>
      <c r="AE60" s="41">
        <f t="shared" si="18"/>
        <v>156694270</v>
      </c>
      <c r="AF60" s="313">
        <f>SUM(AE60:AE64)</f>
        <v>248851720</v>
      </c>
      <c r="AG60" s="45"/>
      <c r="AH60" s="46"/>
      <c r="AI60" s="46"/>
      <c r="AJ60" s="46"/>
    </row>
    <row r="61" spans="1:36" s="47" customFormat="1" ht="54" customHeight="1">
      <c r="A61" s="308"/>
      <c r="B61" s="33" t="s">
        <v>94</v>
      </c>
      <c r="C61" s="50">
        <v>250</v>
      </c>
      <c r="D61" s="50">
        <v>4</v>
      </c>
      <c r="E61" s="51">
        <v>72</v>
      </c>
      <c r="F61" s="34" t="s">
        <v>98</v>
      </c>
      <c r="G61" s="34" t="s">
        <v>99</v>
      </c>
      <c r="H61" s="35">
        <v>96.9</v>
      </c>
      <c r="I61" s="34" t="s">
        <v>49</v>
      </c>
      <c r="J61" s="36" t="s">
        <v>50</v>
      </c>
      <c r="K61" s="37">
        <f t="shared" ref="K61:K94" si="27">E61</f>
        <v>72</v>
      </c>
      <c r="L61" s="38">
        <f>H61-K61</f>
        <v>24.900000000000006</v>
      </c>
      <c r="M61" s="38"/>
      <c r="N61" s="38"/>
      <c r="O61" s="38"/>
      <c r="P61" s="39">
        <f t="shared" si="4"/>
        <v>96.9</v>
      </c>
      <c r="Q61" s="311"/>
      <c r="R61" s="40">
        <v>60000</v>
      </c>
      <c r="S61" s="41">
        <f t="shared" si="12"/>
        <v>5814000</v>
      </c>
      <c r="T61" s="41"/>
      <c r="U61" s="42" t="s">
        <v>100</v>
      </c>
      <c r="V61" s="60">
        <v>20</v>
      </c>
      <c r="W61" s="38" t="s">
        <v>52</v>
      </c>
      <c r="X61" s="41">
        <v>118000</v>
      </c>
      <c r="Y61" s="43">
        <v>0.8</v>
      </c>
      <c r="Z61" s="41">
        <f t="shared" si="1"/>
        <v>1888000</v>
      </c>
      <c r="AA61" s="41">
        <f t="shared" si="13"/>
        <v>969000</v>
      </c>
      <c r="AB61" s="41">
        <f t="shared" si="7"/>
        <v>17442000</v>
      </c>
      <c r="AC61" s="38"/>
      <c r="AD61" s="44">
        <f t="shared" si="2"/>
        <v>0</v>
      </c>
      <c r="AE61" s="41">
        <f t="shared" si="18"/>
        <v>26113000</v>
      </c>
      <c r="AF61" s="314"/>
      <c r="AG61" s="45"/>
      <c r="AH61" s="46"/>
      <c r="AI61" s="46"/>
      <c r="AJ61" s="46"/>
    </row>
    <row r="62" spans="1:36" s="47" customFormat="1" ht="54" customHeight="1">
      <c r="A62" s="308"/>
      <c r="B62" s="33" t="s">
        <v>94</v>
      </c>
      <c r="C62" s="50">
        <v>87</v>
      </c>
      <c r="D62" s="50">
        <v>4</v>
      </c>
      <c r="E62" s="51">
        <v>120</v>
      </c>
      <c r="F62" s="34" t="s">
        <v>101</v>
      </c>
      <c r="G62" s="34" t="s">
        <v>99</v>
      </c>
      <c r="H62" s="35">
        <v>138.1</v>
      </c>
      <c r="I62" s="34" t="s">
        <v>55</v>
      </c>
      <c r="J62" s="36" t="s">
        <v>60</v>
      </c>
      <c r="K62" s="37">
        <f t="shared" si="27"/>
        <v>120</v>
      </c>
      <c r="L62" s="38">
        <f t="shared" ref="L62" si="28">H62-K62</f>
        <v>18.099999999999994</v>
      </c>
      <c r="M62" s="38"/>
      <c r="N62" s="38"/>
      <c r="O62" s="38"/>
      <c r="P62" s="39">
        <f t="shared" si="4"/>
        <v>138.1</v>
      </c>
      <c r="Q62" s="311"/>
      <c r="R62" s="40">
        <v>60000</v>
      </c>
      <c r="S62" s="41">
        <f t="shared" si="12"/>
        <v>8286000</v>
      </c>
      <c r="T62" s="41"/>
      <c r="U62" s="42" t="s">
        <v>47</v>
      </c>
      <c r="V62" s="66">
        <f t="shared" ref="V62" si="29">P62</f>
        <v>138.1</v>
      </c>
      <c r="W62" s="38" t="s">
        <v>48</v>
      </c>
      <c r="X62" s="41">
        <v>9500</v>
      </c>
      <c r="Y62" s="43">
        <v>1</v>
      </c>
      <c r="Z62" s="41">
        <f t="shared" si="1"/>
        <v>1311950</v>
      </c>
      <c r="AA62" s="41">
        <f t="shared" si="13"/>
        <v>1381000</v>
      </c>
      <c r="AB62" s="41">
        <f t="shared" si="7"/>
        <v>24858000</v>
      </c>
      <c r="AC62" s="38"/>
      <c r="AD62" s="44">
        <f t="shared" si="2"/>
        <v>0</v>
      </c>
      <c r="AE62" s="41">
        <f t="shared" si="18"/>
        <v>35836950</v>
      </c>
      <c r="AF62" s="314"/>
      <c r="AG62" s="45"/>
      <c r="AH62" s="46"/>
      <c r="AI62" s="46"/>
      <c r="AJ62" s="46"/>
    </row>
    <row r="63" spans="1:36" s="47" customFormat="1" ht="54" customHeight="1">
      <c r="A63" s="308"/>
      <c r="B63" s="33" t="s">
        <v>94</v>
      </c>
      <c r="C63" s="50">
        <v>87</v>
      </c>
      <c r="D63" s="50">
        <v>4</v>
      </c>
      <c r="E63" s="51">
        <v>120</v>
      </c>
      <c r="F63" s="34" t="s">
        <v>101</v>
      </c>
      <c r="G63" s="34" t="s">
        <v>99</v>
      </c>
      <c r="H63" s="35">
        <v>138.1</v>
      </c>
      <c r="I63" s="34" t="s">
        <v>55</v>
      </c>
      <c r="J63" s="36" t="s">
        <v>60</v>
      </c>
      <c r="K63" s="37"/>
      <c r="L63" s="38"/>
      <c r="M63" s="38"/>
      <c r="N63" s="38"/>
      <c r="O63" s="38"/>
      <c r="P63" s="39">
        <f t="shared" si="4"/>
        <v>0</v>
      </c>
      <c r="Q63" s="311"/>
      <c r="R63" s="40">
        <v>60000</v>
      </c>
      <c r="S63" s="41">
        <f t="shared" si="12"/>
        <v>0</v>
      </c>
      <c r="T63" s="41"/>
      <c r="U63" s="42" t="s">
        <v>65</v>
      </c>
      <c r="V63" s="66">
        <f t="shared" si="8"/>
        <v>0</v>
      </c>
      <c r="W63" s="38" t="s">
        <v>48</v>
      </c>
      <c r="X63" s="41"/>
      <c r="Y63" s="43">
        <v>0</v>
      </c>
      <c r="Z63" s="41">
        <f t="shared" si="1"/>
        <v>0</v>
      </c>
      <c r="AA63" s="41">
        <f t="shared" si="13"/>
        <v>0</v>
      </c>
      <c r="AB63" s="41">
        <f t="shared" si="7"/>
        <v>0</v>
      </c>
      <c r="AC63" s="38"/>
      <c r="AD63" s="44">
        <f t="shared" si="2"/>
        <v>0</v>
      </c>
      <c r="AE63" s="41">
        <f t="shared" si="18"/>
        <v>0</v>
      </c>
      <c r="AF63" s="314"/>
      <c r="AG63" s="45" t="s">
        <v>102</v>
      </c>
      <c r="AH63" s="46"/>
      <c r="AI63" s="46"/>
      <c r="AJ63" s="46"/>
    </row>
    <row r="64" spans="1:36" s="47" customFormat="1" ht="54" customHeight="1">
      <c r="A64" s="309"/>
      <c r="B64" s="33" t="s">
        <v>94</v>
      </c>
      <c r="C64" s="50">
        <v>120</v>
      </c>
      <c r="D64" s="50">
        <v>4</v>
      </c>
      <c r="E64" s="51">
        <v>96</v>
      </c>
      <c r="F64" s="34" t="s">
        <v>103</v>
      </c>
      <c r="G64" s="34" t="s">
        <v>99</v>
      </c>
      <c r="H64" s="35">
        <v>107.5</v>
      </c>
      <c r="I64" s="34" t="s">
        <v>49</v>
      </c>
      <c r="J64" s="36" t="s">
        <v>57</v>
      </c>
      <c r="K64" s="37">
        <f t="shared" si="27"/>
        <v>96</v>
      </c>
      <c r="L64" s="38">
        <f t="shared" ref="L64" si="30">H64-K64</f>
        <v>11.5</v>
      </c>
      <c r="M64" s="38"/>
      <c r="N64" s="38"/>
      <c r="O64" s="38"/>
      <c r="P64" s="39">
        <f t="shared" si="4"/>
        <v>107.5</v>
      </c>
      <c r="Q64" s="312"/>
      <c r="R64" s="40">
        <v>60000</v>
      </c>
      <c r="S64" s="41">
        <f t="shared" si="12"/>
        <v>6450000</v>
      </c>
      <c r="T64" s="41"/>
      <c r="U64" s="42" t="s">
        <v>58</v>
      </c>
      <c r="V64" s="66">
        <f t="shared" si="8"/>
        <v>107.5</v>
      </c>
      <c r="W64" s="38" t="s">
        <v>48</v>
      </c>
      <c r="X64" s="41">
        <v>31000</v>
      </c>
      <c r="Y64" s="43">
        <v>1</v>
      </c>
      <c r="Z64" s="41">
        <f t="shared" si="1"/>
        <v>3332500</v>
      </c>
      <c r="AA64" s="41">
        <f t="shared" si="13"/>
        <v>1075000</v>
      </c>
      <c r="AB64" s="41">
        <f t="shared" si="7"/>
        <v>19350000</v>
      </c>
      <c r="AC64" s="38"/>
      <c r="AD64" s="44">
        <f t="shared" si="2"/>
        <v>0</v>
      </c>
      <c r="AE64" s="41">
        <f t="shared" si="18"/>
        <v>30207500</v>
      </c>
      <c r="AF64" s="315"/>
      <c r="AG64" s="45"/>
      <c r="AH64" s="46"/>
      <c r="AI64" s="46"/>
      <c r="AJ64" s="46"/>
    </row>
    <row r="65" spans="1:36" s="68" customFormat="1" ht="54" customHeight="1">
      <c r="A65" s="307">
        <v>16</v>
      </c>
      <c r="B65" s="33" t="s">
        <v>104</v>
      </c>
      <c r="C65" s="50">
        <v>98</v>
      </c>
      <c r="D65" s="50">
        <v>5</v>
      </c>
      <c r="E65" s="51">
        <v>408</v>
      </c>
      <c r="F65" s="34">
        <v>92</v>
      </c>
      <c r="G65" s="34">
        <v>28</v>
      </c>
      <c r="H65" s="35">
        <v>387.7</v>
      </c>
      <c r="I65" s="34" t="s">
        <v>45</v>
      </c>
      <c r="J65" s="36" t="s">
        <v>60</v>
      </c>
      <c r="K65" s="37">
        <f>387.7</f>
        <v>387.7</v>
      </c>
      <c r="L65" s="38"/>
      <c r="M65" s="38"/>
      <c r="N65" s="38"/>
      <c r="O65" s="38"/>
      <c r="P65" s="39">
        <f t="shared" si="4"/>
        <v>387.7</v>
      </c>
      <c r="Q65" s="316">
        <f>SUM(P65:P67)</f>
        <v>454.6</v>
      </c>
      <c r="R65" s="40">
        <v>60000</v>
      </c>
      <c r="S65" s="41">
        <f t="shared" si="12"/>
        <v>23262000</v>
      </c>
      <c r="T65" s="41"/>
      <c r="U65" s="42" t="s">
        <v>47</v>
      </c>
      <c r="V65" s="66">
        <f t="shared" si="8"/>
        <v>387.7</v>
      </c>
      <c r="W65" s="38" t="s">
        <v>48</v>
      </c>
      <c r="X65" s="41">
        <v>9500</v>
      </c>
      <c r="Y65" s="43">
        <v>1</v>
      </c>
      <c r="Z65" s="41">
        <f t="shared" si="1"/>
        <v>3683150</v>
      </c>
      <c r="AA65" s="41">
        <f t="shared" si="13"/>
        <v>3877000</v>
      </c>
      <c r="AB65" s="41">
        <f t="shared" si="7"/>
        <v>69786000</v>
      </c>
      <c r="AC65" s="38">
        <v>1</v>
      </c>
      <c r="AD65" s="44">
        <f t="shared" si="2"/>
        <v>3500000</v>
      </c>
      <c r="AE65" s="41">
        <f t="shared" si="18"/>
        <v>104108150</v>
      </c>
      <c r="AF65" s="313">
        <f>SUM(AE65:AE67)</f>
        <v>121468700</v>
      </c>
      <c r="AG65" s="45"/>
      <c r="AH65" s="67"/>
      <c r="AI65" s="67"/>
      <c r="AJ65" s="67"/>
    </row>
    <row r="66" spans="1:36" s="68" customFormat="1" ht="54" customHeight="1">
      <c r="A66" s="308"/>
      <c r="B66" s="33" t="s">
        <v>104</v>
      </c>
      <c r="C66" s="50"/>
      <c r="D66" s="50"/>
      <c r="E66" s="51"/>
      <c r="F66" s="34">
        <v>75</v>
      </c>
      <c r="G66" s="34">
        <v>28</v>
      </c>
      <c r="H66" s="35">
        <v>408.7</v>
      </c>
      <c r="I66" s="34" t="s">
        <v>45</v>
      </c>
      <c r="J66" s="36" t="s">
        <v>60</v>
      </c>
      <c r="K66" s="37">
        <f>408-387.7</f>
        <v>20.300000000000011</v>
      </c>
      <c r="L66" s="38">
        <f>44.1-20.3</f>
        <v>23.8</v>
      </c>
      <c r="M66" s="38"/>
      <c r="N66" s="38"/>
      <c r="O66" s="38"/>
      <c r="P66" s="39">
        <f t="shared" si="4"/>
        <v>44.100000000000009</v>
      </c>
      <c r="Q66" s="316"/>
      <c r="R66" s="40">
        <v>60000</v>
      </c>
      <c r="S66" s="41">
        <f t="shared" si="12"/>
        <v>2646000.0000000005</v>
      </c>
      <c r="T66" s="41"/>
      <c r="U66" s="42" t="s">
        <v>47</v>
      </c>
      <c r="V66" s="66">
        <f t="shared" si="8"/>
        <v>44.100000000000009</v>
      </c>
      <c r="W66" s="38" t="s">
        <v>48</v>
      </c>
      <c r="X66" s="41">
        <v>9500</v>
      </c>
      <c r="Y66" s="43">
        <v>1</v>
      </c>
      <c r="Z66" s="41">
        <f t="shared" si="1"/>
        <v>418950.00000000006</v>
      </c>
      <c r="AA66" s="41">
        <f t="shared" si="13"/>
        <v>441000.00000000006</v>
      </c>
      <c r="AB66" s="41">
        <f t="shared" si="7"/>
        <v>7938000.0000000019</v>
      </c>
      <c r="AC66" s="38"/>
      <c r="AD66" s="44">
        <f t="shared" si="2"/>
        <v>0</v>
      </c>
      <c r="AE66" s="41">
        <f t="shared" si="18"/>
        <v>11443950.000000002</v>
      </c>
      <c r="AF66" s="314"/>
      <c r="AG66" s="45"/>
      <c r="AH66" s="67"/>
      <c r="AI66" s="67"/>
      <c r="AJ66" s="67"/>
    </row>
    <row r="67" spans="1:36" s="68" customFormat="1" ht="54" customHeight="1">
      <c r="A67" s="309"/>
      <c r="B67" s="33" t="s">
        <v>104</v>
      </c>
      <c r="C67" s="50"/>
      <c r="D67" s="50"/>
      <c r="E67" s="51"/>
      <c r="F67" s="34">
        <v>93</v>
      </c>
      <c r="G67" s="34">
        <v>28</v>
      </c>
      <c r="H67" s="35">
        <v>424</v>
      </c>
      <c r="I67" s="34" t="s">
        <v>45</v>
      </c>
      <c r="J67" s="36" t="s">
        <v>60</v>
      </c>
      <c r="K67" s="37"/>
      <c r="L67" s="38">
        <v>22.8</v>
      </c>
      <c r="M67" s="38"/>
      <c r="N67" s="38"/>
      <c r="O67" s="38"/>
      <c r="P67" s="39">
        <f t="shared" si="4"/>
        <v>22.8</v>
      </c>
      <c r="Q67" s="316"/>
      <c r="R67" s="40">
        <v>60000</v>
      </c>
      <c r="S67" s="41">
        <f t="shared" si="12"/>
        <v>1368000</v>
      </c>
      <c r="T67" s="41"/>
      <c r="U67" s="42" t="s">
        <v>47</v>
      </c>
      <c r="V67" s="66">
        <f t="shared" si="8"/>
        <v>22.8</v>
      </c>
      <c r="W67" s="38" t="s">
        <v>48</v>
      </c>
      <c r="X67" s="41">
        <v>9500</v>
      </c>
      <c r="Y67" s="43">
        <v>1</v>
      </c>
      <c r="Z67" s="41">
        <f t="shared" si="1"/>
        <v>216600</v>
      </c>
      <c r="AA67" s="41">
        <f t="shared" si="13"/>
        <v>228000</v>
      </c>
      <c r="AB67" s="41">
        <f t="shared" si="7"/>
        <v>4104000</v>
      </c>
      <c r="AC67" s="38"/>
      <c r="AD67" s="44">
        <f t="shared" si="2"/>
        <v>0</v>
      </c>
      <c r="AE67" s="41">
        <f t="shared" si="18"/>
        <v>5916600</v>
      </c>
      <c r="AF67" s="315"/>
      <c r="AG67" s="45"/>
      <c r="AH67" s="67"/>
      <c r="AI67" s="67"/>
      <c r="AJ67" s="67"/>
    </row>
    <row r="68" spans="1:36" s="68" customFormat="1" ht="54" customHeight="1">
      <c r="A68" s="307">
        <v>17</v>
      </c>
      <c r="B68" s="33" t="s">
        <v>105</v>
      </c>
      <c r="C68" s="50">
        <v>80</v>
      </c>
      <c r="D68" s="50">
        <v>4</v>
      </c>
      <c r="E68" s="51">
        <v>360</v>
      </c>
      <c r="F68" s="34" t="s">
        <v>106</v>
      </c>
      <c r="G68" s="34">
        <v>28</v>
      </c>
      <c r="H68" s="35">
        <v>474.5</v>
      </c>
      <c r="I68" s="34" t="s">
        <v>45</v>
      </c>
      <c r="J68" s="36" t="s">
        <v>60</v>
      </c>
      <c r="K68" s="37">
        <f t="shared" si="27"/>
        <v>360</v>
      </c>
      <c r="L68" s="38">
        <f>H68-K68</f>
        <v>114.5</v>
      </c>
      <c r="M68" s="38"/>
      <c r="N68" s="38"/>
      <c r="O68" s="38"/>
      <c r="P68" s="39">
        <f t="shared" si="4"/>
        <v>474.5</v>
      </c>
      <c r="Q68" s="316">
        <f>SUM(P68:P71)</f>
        <v>751.9</v>
      </c>
      <c r="R68" s="40">
        <v>60000</v>
      </c>
      <c r="S68" s="41">
        <f t="shared" si="12"/>
        <v>28470000</v>
      </c>
      <c r="T68" s="41"/>
      <c r="U68" s="42" t="s">
        <v>107</v>
      </c>
      <c r="V68" s="66">
        <f t="shared" si="8"/>
        <v>474.5</v>
      </c>
      <c r="W68" s="38" t="s">
        <v>48</v>
      </c>
      <c r="X68" s="41">
        <v>9500</v>
      </c>
      <c r="Y68" s="43">
        <v>1</v>
      </c>
      <c r="Z68" s="41">
        <f t="shared" si="1"/>
        <v>4507750</v>
      </c>
      <c r="AA68" s="41">
        <f t="shared" si="13"/>
        <v>4745000</v>
      </c>
      <c r="AB68" s="41">
        <f t="shared" si="7"/>
        <v>85410000</v>
      </c>
      <c r="AC68" s="38">
        <v>1</v>
      </c>
      <c r="AD68" s="44">
        <f t="shared" si="2"/>
        <v>3500000</v>
      </c>
      <c r="AE68" s="41">
        <f t="shared" si="18"/>
        <v>126632750</v>
      </c>
      <c r="AF68" s="313">
        <f>SUM(AE68:AE71)</f>
        <v>198618050</v>
      </c>
      <c r="AG68" s="45"/>
      <c r="AH68" s="67"/>
      <c r="AI68" s="67"/>
      <c r="AJ68" s="67"/>
    </row>
    <row r="69" spans="1:36" s="68" customFormat="1" ht="54" customHeight="1">
      <c r="A69" s="308"/>
      <c r="B69" s="33" t="s">
        <v>105</v>
      </c>
      <c r="C69" s="50">
        <v>202</v>
      </c>
      <c r="D69" s="50">
        <v>4</v>
      </c>
      <c r="E69" s="51">
        <v>168</v>
      </c>
      <c r="F69" s="34" t="s">
        <v>108</v>
      </c>
      <c r="G69" s="34">
        <v>28</v>
      </c>
      <c r="H69" s="35">
        <v>289.10000000000002</v>
      </c>
      <c r="I69" s="34" t="s">
        <v>49</v>
      </c>
      <c r="J69" s="36" t="s">
        <v>109</v>
      </c>
      <c r="K69" s="37">
        <v>41</v>
      </c>
      <c r="L69" s="38"/>
      <c r="M69" s="38"/>
      <c r="N69" s="38"/>
      <c r="O69" s="38"/>
      <c r="P69" s="39">
        <f t="shared" si="4"/>
        <v>41</v>
      </c>
      <c r="Q69" s="316"/>
      <c r="R69" s="40">
        <v>60000</v>
      </c>
      <c r="S69" s="41">
        <f t="shared" si="12"/>
        <v>2460000</v>
      </c>
      <c r="T69" s="41"/>
      <c r="U69" s="42" t="s">
        <v>86</v>
      </c>
      <c r="V69" s="66">
        <f t="shared" si="8"/>
        <v>41</v>
      </c>
      <c r="W69" s="38" t="s">
        <v>48</v>
      </c>
      <c r="X69" s="41">
        <v>9500</v>
      </c>
      <c r="Y69" s="43">
        <v>1</v>
      </c>
      <c r="Z69" s="41">
        <f t="shared" si="1"/>
        <v>389500</v>
      </c>
      <c r="AA69" s="41">
        <f t="shared" si="13"/>
        <v>410000</v>
      </c>
      <c r="AB69" s="41">
        <f t="shared" si="7"/>
        <v>7380000</v>
      </c>
      <c r="AC69" s="38"/>
      <c r="AD69" s="44">
        <f t="shared" si="2"/>
        <v>0</v>
      </c>
      <c r="AE69" s="41">
        <f t="shared" si="18"/>
        <v>10639500</v>
      </c>
      <c r="AF69" s="314"/>
      <c r="AG69" s="45"/>
      <c r="AH69" s="67"/>
      <c r="AI69" s="67"/>
      <c r="AJ69" s="67"/>
    </row>
    <row r="70" spans="1:36" s="68" customFormat="1" ht="54" customHeight="1">
      <c r="A70" s="308"/>
      <c r="B70" s="33" t="s">
        <v>105</v>
      </c>
      <c r="C70" s="50">
        <v>207</v>
      </c>
      <c r="D70" s="50">
        <v>4</v>
      </c>
      <c r="E70" s="51">
        <v>168</v>
      </c>
      <c r="F70" s="34" t="s">
        <v>110</v>
      </c>
      <c r="G70" s="34">
        <v>28</v>
      </c>
      <c r="H70" s="35">
        <v>236.4</v>
      </c>
      <c r="I70" s="34" t="s">
        <v>49</v>
      </c>
      <c r="J70" s="36" t="s">
        <v>111</v>
      </c>
      <c r="K70" s="37">
        <f t="shared" ref="K70" si="31">E70</f>
        <v>168</v>
      </c>
      <c r="L70" s="38">
        <f>H70-K70</f>
        <v>68.400000000000006</v>
      </c>
      <c r="M70" s="38"/>
      <c r="N70" s="38"/>
      <c r="O70" s="38"/>
      <c r="P70" s="39">
        <f t="shared" si="4"/>
        <v>236.4</v>
      </c>
      <c r="Q70" s="316"/>
      <c r="R70" s="40">
        <v>60000</v>
      </c>
      <c r="S70" s="41">
        <f t="shared" si="12"/>
        <v>14184000</v>
      </c>
      <c r="T70" s="41"/>
      <c r="U70" s="42" t="s">
        <v>107</v>
      </c>
      <c r="V70" s="66">
        <f t="shared" si="8"/>
        <v>236.4</v>
      </c>
      <c r="W70" s="38" t="s">
        <v>48</v>
      </c>
      <c r="X70" s="41">
        <v>9500</v>
      </c>
      <c r="Y70" s="43">
        <v>1</v>
      </c>
      <c r="Z70" s="41">
        <f t="shared" si="1"/>
        <v>2245800</v>
      </c>
      <c r="AA70" s="41">
        <f t="shared" si="13"/>
        <v>2364000</v>
      </c>
      <c r="AB70" s="41">
        <f t="shared" si="7"/>
        <v>42552000</v>
      </c>
      <c r="AC70" s="38"/>
      <c r="AD70" s="44">
        <f t="shared" si="2"/>
        <v>0</v>
      </c>
      <c r="AE70" s="41">
        <f t="shared" si="18"/>
        <v>61345800</v>
      </c>
      <c r="AF70" s="314"/>
      <c r="AG70" s="45"/>
      <c r="AH70" s="67"/>
      <c r="AI70" s="67"/>
      <c r="AJ70" s="67"/>
    </row>
    <row r="71" spans="1:36" s="68" customFormat="1" ht="54" customHeight="1">
      <c r="A71" s="309"/>
      <c r="B71" s="33" t="s">
        <v>105</v>
      </c>
      <c r="C71" s="50"/>
      <c r="D71" s="50"/>
      <c r="E71" s="51"/>
      <c r="F71" s="34"/>
      <c r="G71" s="34">
        <v>28</v>
      </c>
      <c r="H71" s="35">
        <v>236.4</v>
      </c>
      <c r="I71" s="34" t="s">
        <v>49</v>
      </c>
      <c r="J71" s="36" t="s">
        <v>111</v>
      </c>
      <c r="K71" s="37"/>
      <c r="L71" s="38"/>
      <c r="M71" s="38"/>
      <c r="N71" s="38"/>
      <c r="O71" s="38"/>
      <c r="P71" s="39">
        <f t="shared" si="4"/>
        <v>0</v>
      </c>
      <c r="Q71" s="316"/>
      <c r="R71" s="40">
        <v>60000</v>
      </c>
      <c r="S71" s="41">
        <f t="shared" si="12"/>
        <v>0</v>
      </c>
      <c r="T71" s="41"/>
      <c r="U71" s="42" t="s">
        <v>112</v>
      </c>
      <c r="V71" s="66">
        <v>20</v>
      </c>
      <c r="W71" s="38" t="s">
        <v>52</v>
      </c>
      <c r="X71" s="41"/>
      <c r="Y71" s="43"/>
      <c r="Z71" s="41">
        <f t="shared" si="1"/>
        <v>0</v>
      </c>
      <c r="AA71" s="41">
        <f t="shared" si="13"/>
        <v>0</v>
      </c>
      <c r="AB71" s="41">
        <f t="shared" si="7"/>
        <v>0</v>
      </c>
      <c r="AC71" s="38"/>
      <c r="AD71" s="44">
        <f t="shared" si="2"/>
        <v>0</v>
      </c>
      <c r="AE71" s="41">
        <f t="shared" si="18"/>
        <v>0</v>
      </c>
      <c r="AF71" s="315"/>
      <c r="AG71" s="45" t="s">
        <v>113</v>
      </c>
      <c r="AH71" s="67"/>
      <c r="AI71" s="67"/>
      <c r="AJ71" s="67"/>
    </row>
    <row r="72" spans="1:36" s="68" customFormat="1" ht="54" customHeight="1">
      <c r="A72" s="307">
        <v>18</v>
      </c>
      <c r="B72" s="33" t="s">
        <v>114</v>
      </c>
      <c r="C72" s="50"/>
      <c r="D72" s="50"/>
      <c r="E72" s="51"/>
      <c r="F72" s="34">
        <v>393</v>
      </c>
      <c r="G72" s="34">
        <v>28</v>
      </c>
      <c r="H72" s="35" t="s">
        <v>115</v>
      </c>
      <c r="I72" s="34" t="s">
        <v>49</v>
      </c>
      <c r="J72" s="36" t="s">
        <v>57</v>
      </c>
      <c r="K72" s="37"/>
      <c r="L72" s="38">
        <v>53.3</v>
      </c>
      <c r="M72" s="38"/>
      <c r="N72" s="38"/>
      <c r="O72" s="38"/>
      <c r="P72" s="39">
        <f t="shared" si="4"/>
        <v>53.3</v>
      </c>
      <c r="Q72" s="310">
        <f>P72+P73</f>
        <v>134.6</v>
      </c>
      <c r="R72" s="40">
        <v>60000</v>
      </c>
      <c r="S72" s="41">
        <f t="shared" si="12"/>
        <v>3198000</v>
      </c>
      <c r="T72" s="41"/>
      <c r="U72" s="42" t="s">
        <v>58</v>
      </c>
      <c r="V72" s="66">
        <f t="shared" si="8"/>
        <v>53.3</v>
      </c>
      <c r="W72" s="38" t="s">
        <v>48</v>
      </c>
      <c r="X72" s="41">
        <v>31000</v>
      </c>
      <c r="Y72" s="43">
        <v>1</v>
      </c>
      <c r="Z72" s="41">
        <f t="shared" si="1"/>
        <v>1652300</v>
      </c>
      <c r="AA72" s="41">
        <f t="shared" si="13"/>
        <v>533000</v>
      </c>
      <c r="AB72" s="41">
        <f t="shared" si="7"/>
        <v>9594000</v>
      </c>
      <c r="AC72" s="38"/>
      <c r="AD72" s="44">
        <f t="shared" si="2"/>
        <v>0</v>
      </c>
      <c r="AE72" s="41">
        <f t="shared" si="18"/>
        <v>14977300</v>
      </c>
      <c r="AF72" s="313">
        <f>SUM(AE72:AE73)</f>
        <v>36074650</v>
      </c>
      <c r="AG72" s="45"/>
      <c r="AH72" s="67"/>
      <c r="AI72" s="67"/>
      <c r="AJ72" s="67"/>
    </row>
    <row r="73" spans="1:36" s="68" customFormat="1" ht="71.25" customHeight="1">
      <c r="A73" s="309"/>
      <c r="B73" s="33" t="s">
        <v>116</v>
      </c>
      <c r="C73" s="50">
        <v>3</v>
      </c>
      <c r="D73" s="50">
        <v>4</v>
      </c>
      <c r="E73" s="51">
        <v>120</v>
      </c>
      <c r="F73" s="34">
        <v>212</v>
      </c>
      <c r="G73" s="34">
        <v>21</v>
      </c>
      <c r="H73" s="35" t="s">
        <v>117</v>
      </c>
      <c r="I73" s="34" t="s">
        <v>45</v>
      </c>
      <c r="J73" s="36" t="s">
        <v>54</v>
      </c>
      <c r="K73" s="37">
        <v>81.3</v>
      </c>
      <c r="L73" s="38"/>
      <c r="M73" s="38"/>
      <c r="N73" s="38"/>
      <c r="O73" s="38"/>
      <c r="P73" s="39">
        <f t="shared" si="4"/>
        <v>81.3</v>
      </c>
      <c r="Q73" s="312"/>
      <c r="R73" s="40">
        <v>60000</v>
      </c>
      <c r="S73" s="41">
        <f t="shared" si="12"/>
        <v>4878000</v>
      </c>
      <c r="T73" s="41"/>
      <c r="U73" s="42" t="s">
        <v>47</v>
      </c>
      <c r="V73" s="66">
        <f t="shared" si="8"/>
        <v>81.3</v>
      </c>
      <c r="W73" s="38" t="s">
        <v>48</v>
      </c>
      <c r="X73" s="41">
        <v>9500</v>
      </c>
      <c r="Y73" s="43">
        <v>1</v>
      </c>
      <c r="Z73" s="41">
        <f t="shared" si="1"/>
        <v>772350</v>
      </c>
      <c r="AA73" s="41">
        <f t="shared" si="13"/>
        <v>813000</v>
      </c>
      <c r="AB73" s="41">
        <f t="shared" si="7"/>
        <v>14634000</v>
      </c>
      <c r="AC73" s="38"/>
      <c r="AD73" s="44">
        <f t="shared" si="2"/>
        <v>0</v>
      </c>
      <c r="AE73" s="41">
        <f t="shared" si="18"/>
        <v>21097350</v>
      </c>
      <c r="AF73" s="315"/>
      <c r="AG73" s="45" t="s">
        <v>118</v>
      </c>
      <c r="AH73" s="67"/>
      <c r="AI73" s="67"/>
      <c r="AJ73" s="67"/>
    </row>
    <row r="74" spans="1:36" s="47" customFormat="1" ht="51.75" customHeight="1">
      <c r="A74" s="307">
        <v>19</v>
      </c>
      <c r="B74" s="33" t="s">
        <v>119</v>
      </c>
      <c r="C74" s="50">
        <v>7</v>
      </c>
      <c r="D74" s="50">
        <v>4</v>
      </c>
      <c r="E74" s="51">
        <v>360</v>
      </c>
      <c r="F74" s="34" t="s">
        <v>120</v>
      </c>
      <c r="G74" s="34" t="s">
        <v>96</v>
      </c>
      <c r="H74" s="35">
        <v>190.2</v>
      </c>
      <c r="I74" s="34" t="s">
        <v>45</v>
      </c>
      <c r="J74" s="36" t="s">
        <v>54</v>
      </c>
      <c r="K74" s="37">
        <v>174.7</v>
      </c>
      <c r="L74" s="38">
        <v>15.5</v>
      </c>
      <c r="M74" s="38"/>
      <c r="N74" s="38"/>
      <c r="O74" s="38"/>
      <c r="P74" s="39">
        <f t="shared" si="4"/>
        <v>190.2</v>
      </c>
      <c r="Q74" s="310">
        <f>P74+P75+P76</f>
        <v>389</v>
      </c>
      <c r="R74" s="40">
        <v>60000</v>
      </c>
      <c r="S74" s="41">
        <f t="shared" si="12"/>
        <v>11412000</v>
      </c>
      <c r="T74" s="41"/>
      <c r="U74" s="42" t="s">
        <v>47</v>
      </c>
      <c r="V74" s="66">
        <f t="shared" si="8"/>
        <v>190.2</v>
      </c>
      <c r="W74" s="38" t="s">
        <v>48</v>
      </c>
      <c r="X74" s="41">
        <v>9500</v>
      </c>
      <c r="Y74" s="43">
        <v>1</v>
      </c>
      <c r="Z74" s="41">
        <f t="shared" si="1"/>
        <v>1806900</v>
      </c>
      <c r="AA74" s="41">
        <f t="shared" si="13"/>
        <v>1902000</v>
      </c>
      <c r="AB74" s="41">
        <f t="shared" si="7"/>
        <v>34236000</v>
      </c>
      <c r="AC74" s="38"/>
      <c r="AD74" s="44">
        <f t="shared" si="2"/>
        <v>0</v>
      </c>
      <c r="AE74" s="41">
        <f t="shared" si="18"/>
        <v>49356900</v>
      </c>
      <c r="AF74" s="313">
        <f>SUM(AE74:AE76)</f>
        <v>103744800</v>
      </c>
      <c r="AG74" s="45"/>
      <c r="AH74" s="46"/>
      <c r="AI74" s="46"/>
      <c r="AJ74" s="46"/>
    </row>
    <row r="75" spans="1:36" s="47" customFormat="1" ht="51.75" customHeight="1">
      <c r="A75" s="308"/>
      <c r="B75" s="33" t="s">
        <v>119</v>
      </c>
      <c r="C75" s="50"/>
      <c r="D75" s="50"/>
      <c r="E75" s="51"/>
      <c r="F75" s="34" t="s">
        <v>121</v>
      </c>
      <c r="G75" s="34" t="s">
        <v>99</v>
      </c>
      <c r="H75" s="35">
        <v>130.19999999999999</v>
      </c>
      <c r="I75" s="34" t="s">
        <v>49</v>
      </c>
      <c r="J75" s="36" t="s">
        <v>50</v>
      </c>
      <c r="K75" s="37"/>
      <c r="L75" s="38">
        <v>130.19999999999999</v>
      </c>
      <c r="M75" s="38"/>
      <c r="N75" s="38"/>
      <c r="O75" s="38"/>
      <c r="P75" s="39">
        <f t="shared" si="4"/>
        <v>130.19999999999999</v>
      </c>
      <c r="Q75" s="311"/>
      <c r="R75" s="40">
        <v>60000</v>
      </c>
      <c r="S75" s="41">
        <f t="shared" ref="S75:S84" si="32">P75*R75</f>
        <v>7811999.9999999991</v>
      </c>
      <c r="T75" s="41"/>
      <c r="U75" s="42" t="s">
        <v>58</v>
      </c>
      <c r="V75" s="66">
        <f t="shared" si="8"/>
        <v>130.19999999999999</v>
      </c>
      <c r="W75" s="38" t="s">
        <v>48</v>
      </c>
      <c r="X75" s="41">
        <v>31000</v>
      </c>
      <c r="Y75" s="43">
        <v>1</v>
      </c>
      <c r="Z75" s="41">
        <f t="shared" ref="Z75:Z138" si="33">V75*X75*Y75</f>
        <v>4036199.9999999995</v>
      </c>
      <c r="AA75" s="41">
        <f t="shared" si="13"/>
        <v>1302000</v>
      </c>
      <c r="AB75" s="41">
        <f t="shared" si="7"/>
        <v>23435999.999999996</v>
      </c>
      <c r="AC75" s="38"/>
      <c r="AD75" s="44">
        <f t="shared" ref="AD75:AD138" si="34">AC75*3500000</f>
        <v>0</v>
      </c>
      <c r="AE75" s="41">
        <f t="shared" ref="AE75:AE106" si="35">S75+Z75+AA75+AB75+AD75+T75</f>
        <v>36586199.999999993</v>
      </c>
      <c r="AF75" s="314"/>
      <c r="AG75" s="45"/>
      <c r="AH75" s="46"/>
      <c r="AI75" s="46"/>
      <c r="AJ75" s="46"/>
    </row>
    <row r="76" spans="1:36" s="47" customFormat="1" ht="51.75" customHeight="1">
      <c r="A76" s="309"/>
      <c r="B76" s="33" t="s">
        <v>119</v>
      </c>
      <c r="C76" s="50">
        <v>129</v>
      </c>
      <c r="D76" s="50">
        <v>5</v>
      </c>
      <c r="E76" s="51">
        <v>48</v>
      </c>
      <c r="F76" s="34" t="s">
        <v>122</v>
      </c>
      <c r="G76" s="34" t="s">
        <v>99</v>
      </c>
      <c r="H76" s="35">
        <v>68.599999999999994</v>
      </c>
      <c r="I76" s="34" t="s">
        <v>49</v>
      </c>
      <c r="J76" s="36" t="s">
        <v>57</v>
      </c>
      <c r="K76" s="37">
        <f t="shared" si="27"/>
        <v>48</v>
      </c>
      <c r="L76" s="38">
        <f>H76-K76</f>
        <v>20.599999999999994</v>
      </c>
      <c r="M76" s="38"/>
      <c r="N76" s="38"/>
      <c r="O76" s="38"/>
      <c r="P76" s="39">
        <f t="shared" ref="P76:P139" si="36">SUM(K76:O76)</f>
        <v>68.599999999999994</v>
      </c>
      <c r="Q76" s="312"/>
      <c r="R76" s="40">
        <v>60000</v>
      </c>
      <c r="S76" s="41">
        <f t="shared" si="32"/>
        <v>4115999.9999999995</v>
      </c>
      <c r="T76" s="41"/>
      <c r="U76" s="42" t="s">
        <v>123</v>
      </c>
      <c r="V76" s="66">
        <f t="shared" si="8"/>
        <v>68.599999999999994</v>
      </c>
      <c r="W76" s="38" t="s">
        <v>48</v>
      </c>
      <c r="X76" s="41">
        <v>9500</v>
      </c>
      <c r="Y76" s="43">
        <v>1</v>
      </c>
      <c r="Z76" s="41">
        <f t="shared" si="33"/>
        <v>651700</v>
      </c>
      <c r="AA76" s="41">
        <f t="shared" ref="AA76:AA84" si="37">P76*10000</f>
        <v>686000</v>
      </c>
      <c r="AB76" s="41">
        <f t="shared" ref="AB76:AB107" si="38">P76*R76*3</f>
        <v>12347999.999999998</v>
      </c>
      <c r="AC76" s="38"/>
      <c r="AD76" s="44">
        <f t="shared" si="34"/>
        <v>0</v>
      </c>
      <c r="AE76" s="41">
        <f t="shared" si="35"/>
        <v>17801700</v>
      </c>
      <c r="AF76" s="315"/>
      <c r="AG76" s="45"/>
      <c r="AH76" s="46"/>
      <c r="AI76" s="46"/>
      <c r="AJ76" s="46"/>
    </row>
    <row r="77" spans="1:36" s="47" customFormat="1" ht="51.75" customHeight="1">
      <c r="A77" s="307">
        <v>20</v>
      </c>
      <c r="B77" s="33" t="s">
        <v>124</v>
      </c>
      <c r="C77" s="50">
        <v>99</v>
      </c>
      <c r="D77" s="50">
        <v>5</v>
      </c>
      <c r="E77" s="51">
        <v>456</v>
      </c>
      <c r="F77" s="34" t="s">
        <v>125</v>
      </c>
      <c r="G77" s="34">
        <v>28</v>
      </c>
      <c r="H77" s="35">
        <v>540</v>
      </c>
      <c r="I77" s="34" t="s">
        <v>45</v>
      </c>
      <c r="J77" s="36" t="s">
        <v>60</v>
      </c>
      <c r="K77" s="37">
        <f t="shared" si="27"/>
        <v>456</v>
      </c>
      <c r="L77" s="38">
        <f>540-456</f>
        <v>84</v>
      </c>
      <c r="M77" s="38"/>
      <c r="N77" s="38"/>
      <c r="O77" s="38"/>
      <c r="P77" s="39">
        <f t="shared" si="36"/>
        <v>540</v>
      </c>
      <c r="Q77" s="164">
        <f>SUM(P77:P78)</f>
        <v>636.9</v>
      </c>
      <c r="R77" s="40">
        <v>60000</v>
      </c>
      <c r="S77" s="41">
        <f t="shared" si="32"/>
        <v>32400000</v>
      </c>
      <c r="T77" s="41"/>
      <c r="U77" s="42" t="s">
        <v>47</v>
      </c>
      <c r="V77" s="66">
        <f t="shared" si="8"/>
        <v>540</v>
      </c>
      <c r="W77" s="38" t="s">
        <v>48</v>
      </c>
      <c r="X77" s="41">
        <v>9500</v>
      </c>
      <c r="Y77" s="43">
        <v>1</v>
      </c>
      <c r="Z77" s="41">
        <f t="shared" si="33"/>
        <v>5130000</v>
      </c>
      <c r="AA77" s="41">
        <f t="shared" si="37"/>
        <v>5400000</v>
      </c>
      <c r="AB77" s="41">
        <f t="shared" si="38"/>
        <v>97200000</v>
      </c>
      <c r="AC77" s="38">
        <v>1</v>
      </c>
      <c r="AD77" s="44">
        <f t="shared" si="34"/>
        <v>3500000</v>
      </c>
      <c r="AE77" s="41">
        <f t="shared" si="35"/>
        <v>143630000</v>
      </c>
      <c r="AF77" s="313">
        <f>SUM(AE77:AE78)</f>
        <v>168775550</v>
      </c>
      <c r="AG77" s="45"/>
      <c r="AH77" s="46"/>
      <c r="AI77" s="46"/>
      <c r="AJ77" s="46"/>
    </row>
    <row r="78" spans="1:36" s="47" customFormat="1" ht="51.75" customHeight="1">
      <c r="A78" s="309"/>
      <c r="B78" s="33" t="s">
        <v>124</v>
      </c>
      <c r="C78" s="50">
        <v>128</v>
      </c>
      <c r="D78" s="50">
        <v>5</v>
      </c>
      <c r="E78" s="51">
        <v>60</v>
      </c>
      <c r="F78" s="34" t="s">
        <v>126</v>
      </c>
      <c r="G78" s="34">
        <v>28</v>
      </c>
      <c r="H78" s="35">
        <v>96.9</v>
      </c>
      <c r="I78" s="34" t="s">
        <v>49</v>
      </c>
      <c r="J78" s="36" t="s">
        <v>50</v>
      </c>
      <c r="K78" s="37">
        <f t="shared" si="27"/>
        <v>60</v>
      </c>
      <c r="L78" s="38">
        <f>96.9-60</f>
        <v>36.900000000000006</v>
      </c>
      <c r="M78" s="38"/>
      <c r="N78" s="38"/>
      <c r="O78" s="38"/>
      <c r="P78" s="39">
        <f t="shared" si="36"/>
        <v>96.9</v>
      </c>
      <c r="Q78" s="166"/>
      <c r="R78" s="40">
        <v>60000</v>
      </c>
      <c r="S78" s="41">
        <f t="shared" si="32"/>
        <v>5814000</v>
      </c>
      <c r="T78" s="41"/>
      <c r="U78" s="42" t="s">
        <v>47</v>
      </c>
      <c r="V78" s="66">
        <f t="shared" si="8"/>
        <v>96.9</v>
      </c>
      <c r="W78" s="38" t="s">
        <v>48</v>
      </c>
      <c r="X78" s="41">
        <v>9500</v>
      </c>
      <c r="Y78" s="43">
        <v>1</v>
      </c>
      <c r="Z78" s="41">
        <f t="shared" si="33"/>
        <v>920550</v>
      </c>
      <c r="AA78" s="41">
        <f t="shared" si="37"/>
        <v>969000</v>
      </c>
      <c r="AB78" s="41">
        <f t="shared" si="38"/>
        <v>17442000</v>
      </c>
      <c r="AC78" s="38"/>
      <c r="AD78" s="44">
        <f t="shared" si="34"/>
        <v>0</v>
      </c>
      <c r="AE78" s="41">
        <f t="shared" si="35"/>
        <v>25145550</v>
      </c>
      <c r="AF78" s="315"/>
      <c r="AG78" s="45"/>
      <c r="AH78" s="46"/>
      <c r="AI78" s="46"/>
      <c r="AJ78" s="46"/>
    </row>
    <row r="79" spans="1:36" s="68" customFormat="1" ht="51.75" customHeight="1">
      <c r="A79" s="307">
        <v>21</v>
      </c>
      <c r="B79" s="33" t="s">
        <v>127</v>
      </c>
      <c r="C79" s="72">
        <v>8</v>
      </c>
      <c r="D79" s="72">
        <v>4</v>
      </c>
      <c r="E79" s="73">
        <v>1056</v>
      </c>
      <c r="F79" s="48" t="s">
        <v>128</v>
      </c>
      <c r="G79" s="34">
        <v>21</v>
      </c>
      <c r="H79" s="35">
        <v>419.2</v>
      </c>
      <c r="I79" s="34" t="s">
        <v>45</v>
      </c>
      <c r="J79" s="36" t="s">
        <v>54</v>
      </c>
      <c r="K79" s="37">
        <v>419.2</v>
      </c>
      <c r="L79" s="38">
        <f t="shared" ref="L79:L87" si="39">H79-K79</f>
        <v>0</v>
      </c>
      <c r="M79" s="38"/>
      <c r="N79" s="38"/>
      <c r="O79" s="38"/>
      <c r="P79" s="39">
        <f t="shared" si="36"/>
        <v>419.2</v>
      </c>
      <c r="Q79" s="310" t="e">
        <f>SUM(P79:P86)</f>
        <v>#VALUE!</v>
      </c>
      <c r="R79" s="40">
        <v>60000</v>
      </c>
      <c r="S79" s="41">
        <f t="shared" si="32"/>
        <v>25152000</v>
      </c>
      <c r="T79" s="41"/>
      <c r="U79" s="42" t="s">
        <v>47</v>
      </c>
      <c r="V79" s="66">
        <f t="shared" ref="V79:V97" si="40">P79</f>
        <v>419.2</v>
      </c>
      <c r="W79" s="38" t="s">
        <v>48</v>
      </c>
      <c r="X79" s="41">
        <v>9500</v>
      </c>
      <c r="Y79" s="43">
        <v>1</v>
      </c>
      <c r="Z79" s="41">
        <f t="shared" si="33"/>
        <v>3982400</v>
      </c>
      <c r="AA79" s="41">
        <f t="shared" si="37"/>
        <v>4192000</v>
      </c>
      <c r="AB79" s="41">
        <f t="shared" si="38"/>
        <v>75456000</v>
      </c>
      <c r="AC79" s="38">
        <v>5</v>
      </c>
      <c r="AD79" s="44">
        <f t="shared" si="34"/>
        <v>17500000</v>
      </c>
      <c r="AE79" s="41">
        <f t="shared" si="35"/>
        <v>126282400</v>
      </c>
      <c r="AF79" s="313" t="e">
        <f>SUM(AE79:AE86)</f>
        <v>#VALUE!</v>
      </c>
      <c r="AG79" s="45"/>
      <c r="AH79" s="67"/>
      <c r="AI79" s="67"/>
      <c r="AJ79" s="67"/>
    </row>
    <row r="80" spans="1:36" s="68" customFormat="1" ht="51.75" customHeight="1">
      <c r="A80" s="308"/>
      <c r="B80" s="33" t="s">
        <v>127</v>
      </c>
      <c r="C80" s="74"/>
      <c r="D80" s="74"/>
      <c r="E80" s="75"/>
      <c r="F80" s="34">
        <v>230</v>
      </c>
      <c r="G80" s="34">
        <v>21</v>
      </c>
      <c r="H80" s="35">
        <v>395.3</v>
      </c>
      <c r="I80" s="34" t="s">
        <v>45</v>
      </c>
      <c r="J80" s="36" t="s">
        <v>54</v>
      </c>
      <c r="K80" s="37">
        <v>395.3</v>
      </c>
      <c r="L80" s="38">
        <f t="shared" si="39"/>
        <v>0</v>
      </c>
      <c r="M80" s="38"/>
      <c r="N80" s="38"/>
      <c r="O80" s="38"/>
      <c r="P80" s="39">
        <f t="shared" si="36"/>
        <v>395.3</v>
      </c>
      <c r="Q80" s="311"/>
      <c r="R80" s="40">
        <v>60000</v>
      </c>
      <c r="S80" s="41">
        <f t="shared" si="32"/>
        <v>23718000</v>
      </c>
      <c r="T80" s="41"/>
      <c r="U80" s="42" t="s">
        <v>47</v>
      </c>
      <c r="V80" s="66">
        <f t="shared" si="40"/>
        <v>395.3</v>
      </c>
      <c r="W80" s="38" t="s">
        <v>48</v>
      </c>
      <c r="X80" s="41">
        <v>9500</v>
      </c>
      <c r="Y80" s="43">
        <v>1</v>
      </c>
      <c r="Z80" s="41">
        <f t="shared" si="33"/>
        <v>3755350</v>
      </c>
      <c r="AA80" s="41">
        <f t="shared" si="37"/>
        <v>3953000</v>
      </c>
      <c r="AB80" s="41">
        <f t="shared" si="38"/>
        <v>71154000</v>
      </c>
      <c r="AC80" s="38"/>
      <c r="AD80" s="44">
        <f t="shared" si="34"/>
        <v>0</v>
      </c>
      <c r="AE80" s="41">
        <f t="shared" si="35"/>
        <v>102580350</v>
      </c>
      <c r="AF80" s="314"/>
      <c r="AG80" s="45"/>
      <c r="AH80" s="67"/>
      <c r="AI80" s="67"/>
      <c r="AJ80" s="67"/>
    </row>
    <row r="81" spans="1:36" s="68" customFormat="1" ht="51.75" customHeight="1">
      <c r="A81" s="308"/>
      <c r="B81" s="33" t="s">
        <v>127</v>
      </c>
      <c r="C81" s="77"/>
      <c r="D81" s="77"/>
      <c r="E81" s="78"/>
      <c r="F81" s="34">
        <v>266</v>
      </c>
      <c r="G81" s="34">
        <v>21</v>
      </c>
      <c r="H81" s="35">
        <v>445.8</v>
      </c>
      <c r="I81" s="34" t="s">
        <v>45</v>
      </c>
      <c r="J81" s="36" t="s">
        <v>54</v>
      </c>
      <c r="K81" s="37">
        <f>1056-K80-K79</f>
        <v>241.50000000000006</v>
      </c>
      <c r="L81" s="38">
        <f t="shared" si="39"/>
        <v>204.29999999999995</v>
      </c>
      <c r="M81" s="38"/>
      <c r="N81" s="38"/>
      <c r="O81" s="38"/>
      <c r="P81" s="39">
        <f t="shared" si="36"/>
        <v>445.8</v>
      </c>
      <c r="Q81" s="311"/>
      <c r="R81" s="40">
        <v>60000</v>
      </c>
      <c r="S81" s="41">
        <f t="shared" si="32"/>
        <v>26748000</v>
      </c>
      <c r="T81" s="41"/>
      <c r="U81" s="42" t="s">
        <v>47</v>
      </c>
      <c r="V81" s="66">
        <f t="shared" si="40"/>
        <v>445.8</v>
      </c>
      <c r="W81" s="38" t="s">
        <v>48</v>
      </c>
      <c r="X81" s="41">
        <v>9500</v>
      </c>
      <c r="Y81" s="43">
        <v>1</v>
      </c>
      <c r="Z81" s="41">
        <f t="shared" si="33"/>
        <v>4235100</v>
      </c>
      <c r="AA81" s="41">
        <f t="shared" si="37"/>
        <v>4458000</v>
      </c>
      <c r="AB81" s="41">
        <f t="shared" si="38"/>
        <v>80244000</v>
      </c>
      <c r="AC81" s="38"/>
      <c r="AD81" s="44">
        <f t="shared" si="34"/>
        <v>0</v>
      </c>
      <c r="AE81" s="41">
        <f t="shared" si="35"/>
        <v>115685100</v>
      </c>
      <c r="AF81" s="314"/>
      <c r="AG81" s="45"/>
      <c r="AH81" s="67"/>
      <c r="AI81" s="67"/>
      <c r="AJ81" s="67"/>
    </row>
    <row r="82" spans="1:36" s="68" customFormat="1" ht="51.75" customHeight="1">
      <c r="A82" s="308"/>
      <c r="B82" s="33" t="s">
        <v>127</v>
      </c>
      <c r="C82" s="50">
        <v>98</v>
      </c>
      <c r="D82" s="50">
        <v>4</v>
      </c>
      <c r="E82" s="51">
        <v>384</v>
      </c>
      <c r="F82" s="34">
        <v>72</v>
      </c>
      <c r="G82" s="34">
        <v>28</v>
      </c>
      <c r="H82" s="35" t="s">
        <v>129</v>
      </c>
      <c r="I82" s="34" t="s">
        <v>45</v>
      </c>
      <c r="J82" s="36" t="s">
        <v>60</v>
      </c>
      <c r="K82" s="37">
        <f t="shared" si="27"/>
        <v>384</v>
      </c>
      <c r="L82" s="38">
        <f>427.9-384</f>
        <v>43.899999999999977</v>
      </c>
      <c r="M82" s="38"/>
      <c r="N82" s="38"/>
      <c r="O82" s="38"/>
      <c r="P82" s="39">
        <f t="shared" si="36"/>
        <v>427.9</v>
      </c>
      <c r="Q82" s="311"/>
      <c r="R82" s="40">
        <v>60000</v>
      </c>
      <c r="S82" s="41">
        <f t="shared" si="32"/>
        <v>25674000</v>
      </c>
      <c r="T82" s="41"/>
      <c r="U82" s="42" t="s">
        <v>130</v>
      </c>
      <c r="V82" s="66">
        <v>95</v>
      </c>
      <c r="W82" s="38" t="s">
        <v>48</v>
      </c>
      <c r="X82" s="41">
        <v>118000</v>
      </c>
      <c r="Y82" s="43">
        <v>0.8</v>
      </c>
      <c r="Z82" s="41">
        <f t="shared" si="33"/>
        <v>8968000</v>
      </c>
      <c r="AA82" s="41">
        <f t="shared" si="37"/>
        <v>4279000</v>
      </c>
      <c r="AB82" s="41">
        <f t="shared" si="38"/>
        <v>77022000</v>
      </c>
      <c r="AC82" s="38"/>
      <c r="AD82" s="44">
        <f t="shared" si="34"/>
        <v>0</v>
      </c>
      <c r="AE82" s="41">
        <f t="shared" si="35"/>
        <v>115943000</v>
      </c>
      <c r="AF82" s="314"/>
      <c r="AG82" s="45"/>
      <c r="AH82" s="67"/>
      <c r="AI82" s="67"/>
      <c r="AJ82" s="67"/>
    </row>
    <row r="83" spans="1:36" s="68" customFormat="1" ht="51.75" customHeight="1">
      <c r="A83" s="308"/>
      <c r="B83" s="33" t="s">
        <v>127</v>
      </c>
      <c r="C83" s="50">
        <v>201</v>
      </c>
      <c r="D83" s="50">
        <v>4</v>
      </c>
      <c r="E83" s="51">
        <v>360</v>
      </c>
      <c r="F83" s="34">
        <v>524</v>
      </c>
      <c r="G83" s="34">
        <v>28</v>
      </c>
      <c r="H83" s="35" t="s">
        <v>131</v>
      </c>
      <c r="I83" s="34" t="s">
        <v>49</v>
      </c>
      <c r="J83" s="36" t="s">
        <v>57</v>
      </c>
      <c r="K83" s="37">
        <v>314.5</v>
      </c>
      <c r="L83" s="38" t="e">
        <f t="shared" si="39"/>
        <v>#VALUE!</v>
      </c>
      <c r="M83" s="38"/>
      <c r="N83" s="38"/>
      <c r="O83" s="38"/>
      <c r="P83" s="39" t="e">
        <f t="shared" si="36"/>
        <v>#VALUE!</v>
      </c>
      <c r="Q83" s="240"/>
      <c r="R83" s="40">
        <v>60000</v>
      </c>
      <c r="S83" s="41" t="e">
        <f t="shared" si="32"/>
        <v>#VALUE!</v>
      </c>
      <c r="T83" s="41"/>
      <c r="U83" s="42" t="s">
        <v>65</v>
      </c>
      <c r="V83" s="66" t="e">
        <f t="shared" si="40"/>
        <v>#VALUE!</v>
      </c>
      <c r="W83" s="38" t="s">
        <v>48</v>
      </c>
      <c r="X83" s="41">
        <v>33800</v>
      </c>
      <c r="Y83" s="43">
        <v>1</v>
      </c>
      <c r="Z83" s="41" t="e">
        <f t="shared" si="33"/>
        <v>#VALUE!</v>
      </c>
      <c r="AA83" s="41" t="e">
        <f t="shared" si="37"/>
        <v>#VALUE!</v>
      </c>
      <c r="AB83" s="41" t="e">
        <f t="shared" si="38"/>
        <v>#VALUE!</v>
      </c>
      <c r="AC83" s="38"/>
      <c r="AD83" s="44">
        <f t="shared" si="34"/>
        <v>0</v>
      </c>
      <c r="AE83" s="41" t="e">
        <f t="shared" si="35"/>
        <v>#VALUE!</v>
      </c>
      <c r="AF83" s="175"/>
      <c r="AG83" s="45"/>
      <c r="AH83" s="67"/>
      <c r="AI83" s="67"/>
      <c r="AJ83" s="67"/>
    </row>
    <row r="84" spans="1:36" s="68" customFormat="1" ht="51.75" customHeight="1">
      <c r="A84" s="308"/>
      <c r="B84" s="33" t="s">
        <v>127</v>
      </c>
      <c r="C84" s="50">
        <v>76</v>
      </c>
      <c r="D84" s="50">
        <v>4</v>
      </c>
      <c r="E84" s="51">
        <v>72</v>
      </c>
      <c r="F84" s="34">
        <v>117</v>
      </c>
      <c r="G84" s="34">
        <v>28</v>
      </c>
      <c r="H84" s="35" t="s">
        <v>132</v>
      </c>
      <c r="I84" s="34" t="s">
        <v>55</v>
      </c>
      <c r="J84" s="36" t="s">
        <v>56</v>
      </c>
      <c r="K84" s="37">
        <f t="shared" si="27"/>
        <v>72</v>
      </c>
      <c r="L84" s="38" t="e">
        <f t="shared" si="39"/>
        <v>#VALUE!</v>
      </c>
      <c r="M84" s="38"/>
      <c r="N84" s="38"/>
      <c r="O84" s="38"/>
      <c r="P84" s="39" t="e">
        <f t="shared" si="36"/>
        <v>#VALUE!</v>
      </c>
      <c r="Q84" s="240"/>
      <c r="R84" s="40">
        <v>60000</v>
      </c>
      <c r="S84" s="41" t="e">
        <f t="shared" si="32"/>
        <v>#VALUE!</v>
      </c>
      <c r="T84" s="41"/>
      <c r="U84" s="42" t="s">
        <v>65</v>
      </c>
      <c r="V84" s="66">
        <v>219.5</v>
      </c>
      <c r="W84" s="38" t="s">
        <v>48</v>
      </c>
      <c r="X84" s="41">
        <v>33800</v>
      </c>
      <c r="Y84" s="43">
        <v>1</v>
      </c>
      <c r="Z84" s="41">
        <f t="shared" si="33"/>
        <v>7419100</v>
      </c>
      <c r="AA84" s="41" t="e">
        <f t="shared" si="37"/>
        <v>#VALUE!</v>
      </c>
      <c r="AB84" s="41" t="e">
        <f t="shared" si="38"/>
        <v>#VALUE!</v>
      </c>
      <c r="AC84" s="38"/>
      <c r="AD84" s="44">
        <f t="shared" si="34"/>
        <v>0</v>
      </c>
      <c r="AE84" s="41" t="e">
        <f t="shared" si="35"/>
        <v>#VALUE!</v>
      </c>
      <c r="AF84" s="175"/>
      <c r="AG84" s="45"/>
      <c r="AH84" s="67"/>
      <c r="AI84" s="67"/>
      <c r="AJ84" s="67"/>
    </row>
    <row r="85" spans="1:36" s="68" customFormat="1" ht="51.75" customHeight="1">
      <c r="A85" s="308"/>
      <c r="B85" s="33" t="s">
        <v>127</v>
      </c>
      <c r="C85" s="50"/>
      <c r="D85" s="50"/>
      <c r="E85" s="51"/>
      <c r="F85" s="34"/>
      <c r="G85" s="34"/>
      <c r="H85" s="35"/>
      <c r="I85" s="34"/>
      <c r="J85" s="36"/>
      <c r="K85" s="37"/>
      <c r="L85" s="38"/>
      <c r="M85" s="38"/>
      <c r="N85" s="38"/>
      <c r="O85" s="38"/>
      <c r="P85" s="39">
        <f t="shared" si="36"/>
        <v>0</v>
      </c>
      <c r="Q85" s="240"/>
      <c r="R85" s="40"/>
      <c r="S85" s="41"/>
      <c r="T85" s="41"/>
      <c r="U85" s="42" t="s">
        <v>133</v>
      </c>
      <c r="V85" s="66">
        <v>3</v>
      </c>
      <c r="W85" s="38" t="s">
        <v>52</v>
      </c>
      <c r="X85" s="41">
        <v>125000</v>
      </c>
      <c r="Y85" s="43">
        <v>0.8</v>
      </c>
      <c r="Z85" s="41">
        <f>V85*X85*Y85</f>
        <v>300000</v>
      </c>
      <c r="AA85" s="41">
        <f t="shared" ref="AA85:AA124" si="41">P85*10000</f>
        <v>0</v>
      </c>
      <c r="AB85" s="41">
        <f t="shared" si="38"/>
        <v>0</v>
      </c>
      <c r="AC85" s="38"/>
      <c r="AD85" s="44">
        <f t="shared" si="34"/>
        <v>0</v>
      </c>
      <c r="AE85" s="41">
        <f t="shared" si="35"/>
        <v>300000</v>
      </c>
      <c r="AF85" s="175"/>
      <c r="AG85" s="45"/>
      <c r="AH85" s="67"/>
      <c r="AI85" s="67"/>
      <c r="AJ85" s="67"/>
    </row>
    <row r="86" spans="1:36" s="68" customFormat="1" ht="51.75" customHeight="1">
      <c r="A86" s="309"/>
      <c r="B86" s="33" t="s">
        <v>127</v>
      </c>
      <c r="C86" s="50"/>
      <c r="D86" s="50"/>
      <c r="E86" s="51"/>
      <c r="F86" s="34">
        <v>223</v>
      </c>
      <c r="G86" s="34">
        <v>28</v>
      </c>
      <c r="H86" s="35" t="s">
        <v>134</v>
      </c>
      <c r="I86" s="34" t="s">
        <v>55</v>
      </c>
      <c r="J86" s="36" t="s">
        <v>50</v>
      </c>
      <c r="K86" s="37"/>
      <c r="L86" s="38" t="e">
        <f t="shared" si="39"/>
        <v>#VALUE!</v>
      </c>
      <c r="M86" s="38"/>
      <c r="N86" s="38"/>
      <c r="O86" s="38"/>
      <c r="P86" s="39" t="e">
        <f t="shared" si="36"/>
        <v>#VALUE!</v>
      </c>
      <c r="Q86" s="94"/>
      <c r="R86" s="40">
        <v>60000</v>
      </c>
      <c r="S86" s="41" t="e">
        <f t="shared" ref="S86:S87" si="42">P86*R86</f>
        <v>#VALUE!</v>
      </c>
      <c r="T86" s="41"/>
      <c r="U86" s="42" t="s">
        <v>47</v>
      </c>
      <c r="V86" s="66" t="e">
        <f t="shared" si="40"/>
        <v>#VALUE!</v>
      </c>
      <c r="W86" s="38" t="s">
        <v>48</v>
      </c>
      <c r="X86" s="41">
        <v>9500</v>
      </c>
      <c r="Y86" s="43">
        <v>1</v>
      </c>
      <c r="Z86" s="41" t="e">
        <f t="shared" si="33"/>
        <v>#VALUE!</v>
      </c>
      <c r="AA86" s="41" t="e">
        <f t="shared" si="41"/>
        <v>#VALUE!</v>
      </c>
      <c r="AB86" s="41" t="e">
        <f t="shared" si="38"/>
        <v>#VALUE!</v>
      </c>
      <c r="AC86" s="38"/>
      <c r="AD86" s="44">
        <f t="shared" si="34"/>
        <v>0</v>
      </c>
      <c r="AE86" s="41" t="e">
        <f t="shared" si="35"/>
        <v>#VALUE!</v>
      </c>
      <c r="AF86" s="176"/>
      <c r="AG86" s="45"/>
      <c r="AH86" s="67"/>
      <c r="AI86" s="67"/>
      <c r="AJ86" s="67"/>
    </row>
    <row r="87" spans="1:36" s="47" customFormat="1" ht="51.75" customHeight="1">
      <c r="A87" s="307">
        <v>22</v>
      </c>
      <c r="B87" s="33" t="s">
        <v>135</v>
      </c>
      <c r="C87" s="50">
        <v>96</v>
      </c>
      <c r="D87" s="50">
        <v>4</v>
      </c>
      <c r="E87" s="51">
        <v>218</v>
      </c>
      <c r="F87" s="34" t="s">
        <v>136</v>
      </c>
      <c r="G87" s="34" t="s">
        <v>99</v>
      </c>
      <c r="H87" s="35">
        <v>328.7</v>
      </c>
      <c r="I87" s="34" t="s">
        <v>55</v>
      </c>
      <c r="J87" s="69" t="s">
        <v>137</v>
      </c>
      <c r="K87" s="37">
        <f t="shared" ref="K87" si="43">E87</f>
        <v>218</v>
      </c>
      <c r="L87" s="38">
        <f t="shared" si="39"/>
        <v>110.69999999999999</v>
      </c>
      <c r="M87" s="38"/>
      <c r="N87" s="38"/>
      <c r="O87" s="38"/>
      <c r="P87" s="39">
        <f t="shared" si="36"/>
        <v>328.7</v>
      </c>
      <c r="Q87" s="310">
        <f>328.7</f>
        <v>328.7</v>
      </c>
      <c r="R87" s="40">
        <v>60000</v>
      </c>
      <c r="S87" s="41">
        <f t="shared" si="42"/>
        <v>19722000</v>
      </c>
      <c r="T87" s="41"/>
      <c r="U87" s="42" t="s">
        <v>138</v>
      </c>
      <c r="V87" s="60">
        <v>37</v>
      </c>
      <c r="W87" s="38" t="s">
        <v>52</v>
      </c>
      <c r="X87" s="41">
        <v>300000</v>
      </c>
      <c r="Y87" s="43">
        <v>0.8</v>
      </c>
      <c r="Z87" s="41">
        <f t="shared" si="33"/>
        <v>8880000</v>
      </c>
      <c r="AA87" s="41">
        <f t="shared" si="41"/>
        <v>3287000</v>
      </c>
      <c r="AB87" s="41">
        <f t="shared" si="38"/>
        <v>59166000</v>
      </c>
      <c r="AC87" s="38"/>
      <c r="AD87" s="44">
        <f t="shared" si="34"/>
        <v>0</v>
      </c>
      <c r="AE87" s="41">
        <f t="shared" si="35"/>
        <v>91055000</v>
      </c>
      <c r="AF87" s="313">
        <f>SUM(AE87:AE89)</f>
        <v>95227800</v>
      </c>
      <c r="AG87" s="45"/>
      <c r="AH87" s="46"/>
      <c r="AI87" s="46"/>
      <c r="AJ87" s="46"/>
    </row>
    <row r="88" spans="1:36" s="47" customFormat="1" ht="51.75" customHeight="1">
      <c r="A88" s="308"/>
      <c r="B88" s="33" t="s">
        <v>135</v>
      </c>
      <c r="C88" s="50"/>
      <c r="D88" s="50"/>
      <c r="E88" s="51"/>
      <c r="F88" s="34" t="s">
        <v>136</v>
      </c>
      <c r="G88" s="34" t="s">
        <v>99</v>
      </c>
      <c r="H88" s="35">
        <v>328.7</v>
      </c>
      <c r="I88" s="34" t="s">
        <v>55</v>
      </c>
      <c r="J88" s="69" t="s">
        <v>137</v>
      </c>
      <c r="K88" s="37"/>
      <c r="L88" s="38"/>
      <c r="M88" s="38"/>
      <c r="N88" s="38"/>
      <c r="O88" s="38"/>
      <c r="P88" s="39">
        <f t="shared" si="36"/>
        <v>0</v>
      </c>
      <c r="Q88" s="311"/>
      <c r="R88" s="40"/>
      <c r="S88" s="41">
        <f t="shared" ref="S88:S107" si="44">P88*R88</f>
        <v>0</v>
      </c>
      <c r="T88" s="41"/>
      <c r="U88" s="42" t="s">
        <v>139</v>
      </c>
      <c r="V88" s="60">
        <v>32</v>
      </c>
      <c r="W88" s="38" t="s">
        <v>52</v>
      </c>
      <c r="X88" s="41">
        <v>163000</v>
      </c>
      <c r="Y88" s="43">
        <v>0.8</v>
      </c>
      <c r="Z88" s="41">
        <f t="shared" si="33"/>
        <v>4172800</v>
      </c>
      <c r="AA88" s="41">
        <f t="shared" si="41"/>
        <v>0</v>
      </c>
      <c r="AB88" s="41">
        <f t="shared" si="38"/>
        <v>0</v>
      </c>
      <c r="AC88" s="38"/>
      <c r="AD88" s="44">
        <f t="shared" si="34"/>
        <v>0</v>
      </c>
      <c r="AE88" s="41">
        <f t="shared" si="35"/>
        <v>4172800</v>
      </c>
      <c r="AF88" s="314"/>
      <c r="AG88" s="45"/>
      <c r="AH88" s="46"/>
      <c r="AI88" s="46"/>
      <c r="AJ88" s="46"/>
    </row>
    <row r="89" spans="1:36" s="47" customFormat="1" ht="51.75" customHeight="1">
      <c r="A89" s="309"/>
      <c r="B89" s="33" t="s">
        <v>135</v>
      </c>
      <c r="C89" s="50"/>
      <c r="D89" s="50"/>
      <c r="E89" s="51"/>
      <c r="F89" s="34" t="s">
        <v>136</v>
      </c>
      <c r="G89" s="34" t="s">
        <v>99</v>
      </c>
      <c r="H89" s="35">
        <v>328.7</v>
      </c>
      <c r="I89" s="34" t="s">
        <v>55</v>
      </c>
      <c r="J89" s="69" t="s">
        <v>137</v>
      </c>
      <c r="K89" s="37"/>
      <c r="L89" s="38"/>
      <c r="M89" s="38"/>
      <c r="N89" s="38"/>
      <c r="O89" s="38"/>
      <c r="P89" s="39">
        <f t="shared" si="36"/>
        <v>0</v>
      </c>
      <c r="Q89" s="312"/>
      <c r="R89" s="40"/>
      <c r="S89" s="41">
        <f t="shared" si="44"/>
        <v>0</v>
      </c>
      <c r="T89" s="41"/>
      <c r="U89" s="42" t="s">
        <v>139</v>
      </c>
      <c r="V89" s="60">
        <v>11</v>
      </c>
      <c r="W89" s="38" t="s">
        <v>52</v>
      </c>
      <c r="X89" s="41">
        <v>163000</v>
      </c>
      <c r="Y89" s="43">
        <v>0</v>
      </c>
      <c r="Z89" s="41">
        <f t="shared" si="33"/>
        <v>0</v>
      </c>
      <c r="AA89" s="41">
        <f t="shared" si="41"/>
        <v>0</v>
      </c>
      <c r="AB89" s="41">
        <f t="shared" si="38"/>
        <v>0</v>
      </c>
      <c r="AC89" s="38"/>
      <c r="AD89" s="44">
        <f t="shared" si="34"/>
        <v>0</v>
      </c>
      <c r="AE89" s="41">
        <f t="shared" si="35"/>
        <v>0</v>
      </c>
      <c r="AF89" s="315"/>
      <c r="AG89" s="45" t="s">
        <v>53</v>
      </c>
      <c r="AH89" s="46"/>
      <c r="AI89" s="46"/>
      <c r="AJ89" s="46"/>
    </row>
    <row r="90" spans="1:36" s="68" customFormat="1" ht="51.75" customHeight="1">
      <c r="A90" s="32">
        <v>23</v>
      </c>
      <c r="B90" s="33" t="s">
        <v>140</v>
      </c>
      <c r="C90" s="50">
        <v>91</v>
      </c>
      <c r="D90" s="50">
        <v>4</v>
      </c>
      <c r="E90" s="51">
        <v>131</v>
      </c>
      <c r="F90" s="34" t="s">
        <v>141</v>
      </c>
      <c r="G90" s="34" t="s">
        <v>99</v>
      </c>
      <c r="H90" s="35">
        <v>279.8</v>
      </c>
      <c r="I90" s="34" t="s">
        <v>55</v>
      </c>
      <c r="J90" s="36" t="s">
        <v>60</v>
      </c>
      <c r="K90" s="37">
        <f t="shared" ref="K90" si="45">E90</f>
        <v>131</v>
      </c>
      <c r="L90" s="38">
        <f>32.8</f>
        <v>32.799999999999997</v>
      </c>
      <c r="M90" s="38"/>
      <c r="N90" s="38"/>
      <c r="O90" s="38"/>
      <c r="P90" s="39">
        <f t="shared" si="36"/>
        <v>163.80000000000001</v>
      </c>
      <c r="Q90" s="63">
        <f>P90</f>
        <v>163.80000000000001</v>
      </c>
      <c r="R90" s="40">
        <v>60000</v>
      </c>
      <c r="S90" s="41">
        <f t="shared" si="44"/>
        <v>9828000</v>
      </c>
      <c r="T90" s="41"/>
      <c r="U90" s="42" t="s">
        <v>47</v>
      </c>
      <c r="V90" s="66">
        <f t="shared" ref="V90" si="46">P90</f>
        <v>163.80000000000001</v>
      </c>
      <c r="W90" s="38" t="s">
        <v>48</v>
      </c>
      <c r="X90" s="41">
        <v>9500</v>
      </c>
      <c r="Y90" s="43">
        <v>1</v>
      </c>
      <c r="Z90" s="41">
        <f t="shared" si="33"/>
        <v>1556100</v>
      </c>
      <c r="AA90" s="41">
        <f t="shared" si="41"/>
        <v>1638000</v>
      </c>
      <c r="AB90" s="41">
        <f t="shared" si="38"/>
        <v>29484000</v>
      </c>
      <c r="AC90" s="38"/>
      <c r="AD90" s="44">
        <f t="shared" si="34"/>
        <v>0</v>
      </c>
      <c r="AE90" s="41">
        <f t="shared" si="35"/>
        <v>42506100</v>
      </c>
      <c r="AF90" s="64">
        <f t="shared" ref="AF90:AF92" si="47">AE90</f>
        <v>42506100</v>
      </c>
      <c r="AG90" s="45"/>
      <c r="AH90" s="67"/>
      <c r="AI90" s="67"/>
      <c r="AJ90" s="67"/>
    </row>
    <row r="91" spans="1:36" s="47" customFormat="1" ht="51.75" customHeight="1">
      <c r="A91" s="32">
        <v>24</v>
      </c>
      <c r="B91" s="33" t="s">
        <v>142</v>
      </c>
      <c r="C91" s="50">
        <v>91</v>
      </c>
      <c r="D91" s="50">
        <v>4</v>
      </c>
      <c r="E91" s="51">
        <v>131</v>
      </c>
      <c r="F91" s="34" t="s">
        <v>141</v>
      </c>
      <c r="G91" s="34" t="s">
        <v>99</v>
      </c>
      <c r="H91" s="35">
        <v>279.8</v>
      </c>
      <c r="I91" s="34" t="s">
        <v>55</v>
      </c>
      <c r="J91" s="36" t="s">
        <v>60</v>
      </c>
      <c r="K91" s="37">
        <v>116</v>
      </c>
      <c r="L91" s="38"/>
      <c r="M91" s="38"/>
      <c r="N91" s="38"/>
      <c r="O91" s="38"/>
      <c r="P91" s="39">
        <f t="shared" si="36"/>
        <v>116</v>
      </c>
      <c r="Q91" s="63">
        <f>P91</f>
        <v>116</v>
      </c>
      <c r="R91" s="40">
        <v>60000</v>
      </c>
      <c r="S91" s="41">
        <f t="shared" si="44"/>
        <v>6960000</v>
      </c>
      <c r="T91" s="41"/>
      <c r="U91" s="42" t="s">
        <v>47</v>
      </c>
      <c r="V91" s="66">
        <f t="shared" si="40"/>
        <v>116</v>
      </c>
      <c r="W91" s="38" t="s">
        <v>48</v>
      </c>
      <c r="X91" s="41">
        <v>9500</v>
      </c>
      <c r="Y91" s="43">
        <v>1</v>
      </c>
      <c r="Z91" s="41">
        <f t="shared" si="33"/>
        <v>1102000</v>
      </c>
      <c r="AA91" s="41">
        <f t="shared" si="41"/>
        <v>1160000</v>
      </c>
      <c r="AB91" s="41">
        <f t="shared" si="38"/>
        <v>20880000</v>
      </c>
      <c r="AC91" s="38"/>
      <c r="AD91" s="44">
        <f t="shared" si="34"/>
        <v>0</v>
      </c>
      <c r="AE91" s="41">
        <f t="shared" si="35"/>
        <v>30102000</v>
      </c>
      <c r="AF91" s="64">
        <f t="shared" si="47"/>
        <v>30102000</v>
      </c>
      <c r="AG91" s="45"/>
      <c r="AH91" s="46"/>
      <c r="AI91" s="46"/>
      <c r="AJ91" s="46"/>
    </row>
    <row r="92" spans="1:36" s="47" customFormat="1" ht="51.75" customHeight="1">
      <c r="A92" s="32">
        <f t="shared" ref="A92:A95" si="48">IF(B92=B91,A91,A91+1)</f>
        <v>25</v>
      </c>
      <c r="B92" s="33" t="s">
        <v>143</v>
      </c>
      <c r="C92" s="50">
        <v>57</v>
      </c>
      <c r="D92" s="50">
        <v>4</v>
      </c>
      <c r="E92" s="51">
        <v>196</v>
      </c>
      <c r="F92" s="34" t="s">
        <v>144</v>
      </c>
      <c r="G92" s="34" t="s">
        <v>99</v>
      </c>
      <c r="H92" s="35">
        <v>418.9</v>
      </c>
      <c r="I92" s="34" t="s">
        <v>45</v>
      </c>
      <c r="J92" s="36" t="s">
        <v>60</v>
      </c>
      <c r="K92" s="37">
        <f t="shared" si="27"/>
        <v>196</v>
      </c>
      <c r="L92" s="38">
        <f>H92-K92</f>
        <v>222.89999999999998</v>
      </c>
      <c r="M92" s="38"/>
      <c r="N92" s="38"/>
      <c r="O92" s="38"/>
      <c r="P92" s="39">
        <f t="shared" si="36"/>
        <v>418.9</v>
      </c>
      <c r="Q92" s="63">
        <f>P92</f>
        <v>418.9</v>
      </c>
      <c r="R92" s="40">
        <v>60000</v>
      </c>
      <c r="S92" s="41">
        <f t="shared" si="44"/>
        <v>25134000</v>
      </c>
      <c r="T92" s="41"/>
      <c r="U92" s="42" t="s">
        <v>47</v>
      </c>
      <c r="V92" s="66">
        <f t="shared" si="40"/>
        <v>418.9</v>
      </c>
      <c r="W92" s="38" t="s">
        <v>48</v>
      </c>
      <c r="X92" s="41">
        <v>9500</v>
      </c>
      <c r="Y92" s="43">
        <v>1</v>
      </c>
      <c r="Z92" s="41">
        <f t="shared" si="33"/>
        <v>3979550</v>
      </c>
      <c r="AA92" s="41">
        <f t="shared" si="41"/>
        <v>4189000</v>
      </c>
      <c r="AB92" s="41">
        <f t="shared" si="38"/>
        <v>75402000</v>
      </c>
      <c r="AC92" s="38"/>
      <c r="AD92" s="44">
        <f t="shared" si="34"/>
        <v>0</v>
      </c>
      <c r="AE92" s="41">
        <f t="shared" si="35"/>
        <v>108704550</v>
      </c>
      <c r="AF92" s="64">
        <f t="shared" si="47"/>
        <v>108704550</v>
      </c>
      <c r="AG92" s="45"/>
      <c r="AH92" s="46"/>
      <c r="AI92" s="46"/>
      <c r="AJ92" s="46"/>
    </row>
    <row r="93" spans="1:36" s="47" customFormat="1" ht="51.75" customHeight="1">
      <c r="A93" s="32">
        <f t="shared" si="48"/>
        <v>26</v>
      </c>
      <c r="B93" s="33" t="s">
        <v>145</v>
      </c>
      <c r="C93" s="50">
        <v>95</v>
      </c>
      <c r="D93" s="50">
        <v>4</v>
      </c>
      <c r="E93" s="51">
        <v>153</v>
      </c>
      <c r="F93" s="34" t="s">
        <v>146</v>
      </c>
      <c r="G93" s="34" t="s">
        <v>99</v>
      </c>
      <c r="H93" s="35">
        <v>178.5</v>
      </c>
      <c r="I93" s="34" t="s">
        <v>55</v>
      </c>
      <c r="J93" s="36" t="s">
        <v>60</v>
      </c>
      <c r="K93" s="37">
        <f t="shared" si="27"/>
        <v>153</v>
      </c>
      <c r="L93" s="38">
        <f>H93-K93</f>
        <v>25.5</v>
      </c>
      <c r="M93" s="38"/>
      <c r="N93" s="38"/>
      <c r="O93" s="38"/>
      <c r="P93" s="39">
        <f t="shared" si="36"/>
        <v>178.5</v>
      </c>
      <c r="Q93" s="63">
        <f>P93</f>
        <v>178.5</v>
      </c>
      <c r="R93" s="40">
        <v>60000</v>
      </c>
      <c r="S93" s="41">
        <f t="shared" si="44"/>
        <v>10710000</v>
      </c>
      <c r="T93" s="41"/>
      <c r="U93" s="42" t="s">
        <v>47</v>
      </c>
      <c r="V93" s="66">
        <f t="shared" si="40"/>
        <v>178.5</v>
      </c>
      <c r="W93" s="38" t="s">
        <v>48</v>
      </c>
      <c r="X93" s="41">
        <v>9500</v>
      </c>
      <c r="Y93" s="43">
        <v>1</v>
      </c>
      <c r="Z93" s="41">
        <f t="shared" si="33"/>
        <v>1695750</v>
      </c>
      <c r="AA93" s="41">
        <f t="shared" si="41"/>
        <v>1785000</v>
      </c>
      <c r="AB93" s="41">
        <f t="shared" si="38"/>
        <v>32130000</v>
      </c>
      <c r="AC93" s="38"/>
      <c r="AD93" s="44">
        <f t="shared" si="34"/>
        <v>0</v>
      </c>
      <c r="AE93" s="41">
        <f t="shared" si="35"/>
        <v>46320750</v>
      </c>
      <c r="AF93" s="268">
        <f>AE93</f>
        <v>46320750</v>
      </c>
      <c r="AG93" s="45"/>
      <c r="AH93" s="46"/>
      <c r="AI93" s="46"/>
      <c r="AJ93" s="46"/>
    </row>
    <row r="94" spans="1:36" s="47" customFormat="1" ht="72" customHeight="1">
      <c r="A94" s="32">
        <f t="shared" si="48"/>
        <v>27</v>
      </c>
      <c r="B94" s="33" t="s">
        <v>147</v>
      </c>
      <c r="C94" s="50">
        <v>95</v>
      </c>
      <c r="D94" s="50">
        <v>4</v>
      </c>
      <c r="E94" s="51">
        <v>196</v>
      </c>
      <c r="F94" s="34" t="s">
        <v>148</v>
      </c>
      <c r="G94" s="34" t="s">
        <v>99</v>
      </c>
      <c r="H94" s="35">
        <v>230.2</v>
      </c>
      <c r="I94" s="34" t="s">
        <v>55</v>
      </c>
      <c r="J94" s="36" t="s">
        <v>60</v>
      </c>
      <c r="K94" s="37">
        <f t="shared" si="27"/>
        <v>196</v>
      </c>
      <c r="L94" s="38">
        <f>H94-K94</f>
        <v>34.199999999999989</v>
      </c>
      <c r="M94" s="38"/>
      <c r="N94" s="38"/>
      <c r="O94" s="38"/>
      <c r="P94" s="39">
        <f t="shared" si="36"/>
        <v>230.2</v>
      </c>
      <c r="Q94" s="94">
        <f>P94</f>
        <v>230.2</v>
      </c>
      <c r="R94" s="40">
        <v>60000</v>
      </c>
      <c r="S94" s="41">
        <f t="shared" si="44"/>
        <v>13812000</v>
      </c>
      <c r="T94" s="41"/>
      <c r="U94" s="42" t="s">
        <v>47</v>
      </c>
      <c r="V94" s="66">
        <f t="shared" si="40"/>
        <v>230.2</v>
      </c>
      <c r="W94" s="38" t="s">
        <v>48</v>
      </c>
      <c r="X94" s="41">
        <v>9500</v>
      </c>
      <c r="Y94" s="43">
        <v>1</v>
      </c>
      <c r="Z94" s="41">
        <f t="shared" si="33"/>
        <v>2186900</v>
      </c>
      <c r="AA94" s="41">
        <f t="shared" si="41"/>
        <v>2302000</v>
      </c>
      <c r="AB94" s="41">
        <f t="shared" si="38"/>
        <v>41436000</v>
      </c>
      <c r="AC94" s="38"/>
      <c r="AD94" s="44">
        <f t="shared" si="34"/>
        <v>0</v>
      </c>
      <c r="AE94" s="41">
        <f t="shared" si="35"/>
        <v>59736900</v>
      </c>
      <c r="AF94" s="268">
        <f>AE94</f>
        <v>59736900</v>
      </c>
      <c r="AG94" s="45"/>
      <c r="AH94" s="46"/>
      <c r="AI94" s="46"/>
      <c r="AJ94" s="46"/>
    </row>
    <row r="95" spans="1:36" s="47" customFormat="1" ht="49.5" customHeight="1">
      <c r="A95" s="32">
        <f t="shared" si="48"/>
        <v>28</v>
      </c>
      <c r="B95" s="33" t="s">
        <v>149</v>
      </c>
      <c r="C95" s="50"/>
      <c r="D95" s="50"/>
      <c r="E95" s="51"/>
      <c r="F95" s="70" t="s">
        <v>150</v>
      </c>
      <c r="G95" s="48" t="s">
        <v>96</v>
      </c>
      <c r="H95" s="71">
        <v>194.9</v>
      </c>
      <c r="I95" s="34" t="s">
        <v>45</v>
      </c>
      <c r="J95" s="36" t="s">
        <v>54</v>
      </c>
      <c r="K95" s="37"/>
      <c r="L95" s="38">
        <v>159.9</v>
      </c>
      <c r="M95" s="38"/>
      <c r="N95" s="38"/>
      <c r="O95" s="38">
        <f>194.9-159.9</f>
        <v>35</v>
      </c>
      <c r="P95" s="39">
        <f t="shared" si="36"/>
        <v>194.9</v>
      </c>
      <c r="Q95" s="164">
        <f>SUM(P95:P95)</f>
        <v>194.9</v>
      </c>
      <c r="R95" s="40">
        <v>60000</v>
      </c>
      <c r="S95" s="41">
        <f t="shared" si="44"/>
        <v>11694000</v>
      </c>
      <c r="T95" s="41"/>
      <c r="U95" s="42" t="s">
        <v>47</v>
      </c>
      <c r="V95" s="66">
        <f t="shared" si="40"/>
        <v>194.9</v>
      </c>
      <c r="W95" s="38" t="s">
        <v>52</v>
      </c>
      <c r="X95" s="41">
        <v>9500</v>
      </c>
      <c r="Y95" s="43">
        <v>1</v>
      </c>
      <c r="Z95" s="41">
        <f t="shared" si="33"/>
        <v>1851550</v>
      </c>
      <c r="AA95" s="41">
        <f t="shared" si="41"/>
        <v>1949000</v>
      </c>
      <c r="AB95" s="41">
        <f t="shared" si="38"/>
        <v>35082000</v>
      </c>
      <c r="AC95" s="38"/>
      <c r="AD95" s="44">
        <f t="shared" si="34"/>
        <v>0</v>
      </c>
      <c r="AE95" s="41">
        <f t="shared" si="35"/>
        <v>50576550</v>
      </c>
      <c r="AF95" s="54">
        <f>SUM(AE95:AE95)</f>
        <v>50576550</v>
      </c>
      <c r="AG95" s="45"/>
      <c r="AH95" s="46"/>
      <c r="AI95" s="46"/>
      <c r="AJ95" s="46"/>
    </row>
    <row r="96" spans="1:36" s="47" customFormat="1" ht="49.5" customHeight="1">
      <c r="A96" s="307">
        <v>29</v>
      </c>
      <c r="B96" s="33" t="s">
        <v>151</v>
      </c>
      <c r="C96" s="50">
        <v>212</v>
      </c>
      <c r="D96" s="50">
        <v>4</v>
      </c>
      <c r="E96" s="51">
        <v>360</v>
      </c>
      <c r="F96" s="34" t="s">
        <v>152</v>
      </c>
      <c r="G96" s="34" t="s">
        <v>99</v>
      </c>
      <c r="H96" s="35">
        <v>376.8</v>
      </c>
      <c r="I96" s="34" t="s">
        <v>49</v>
      </c>
      <c r="J96" s="36" t="s">
        <v>57</v>
      </c>
      <c r="K96" s="37">
        <v>78.3</v>
      </c>
      <c r="L96" s="38"/>
      <c r="M96" s="38"/>
      <c r="N96" s="38"/>
      <c r="O96" s="38"/>
      <c r="P96" s="39">
        <f t="shared" si="36"/>
        <v>78.3</v>
      </c>
      <c r="Q96" s="310">
        <f>SUM(P96:P97)</f>
        <v>368.40000000000003</v>
      </c>
      <c r="R96" s="40">
        <v>60000</v>
      </c>
      <c r="S96" s="41">
        <f t="shared" si="44"/>
        <v>4698000</v>
      </c>
      <c r="T96" s="41"/>
      <c r="U96" s="42" t="s">
        <v>58</v>
      </c>
      <c r="V96" s="66">
        <f t="shared" si="40"/>
        <v>78.3</v>
      </c>
      <c r="W96" s="38" t="s">
        <v>48</v>
      </c>
      <c r="X96" s="41">
        <v>31000</v>
      </c>
      <c r="Y96" s="43">
        <v>1</v>
      </c>
      <c r="Z96" s="41">
        <f t="shared" si="33"/>
        <v>2427300</v>
      </c>
      <c r="AA96" s="41">
        <f t="shared" si="41"/>
        <v>783000</v>
      </c>
      <c r="AB96" s="41">
        <f t="shared" si="38"/>
        <v>14094000</v>
      </c>
      <c r="AC96" s="38"/>
      <c r="AD96" s="44">
        <f t="shared" si="34"/>
        <v>0</v>
      </c>
      <c r="AE96" s="41">
        <f t="shared" si="35"/>
        <v>22002300</v>
      </c>
      <c r="AF96" s="313">
        <f>SUM(AE96:AE97)</f>
        <v>97283250</v>
      </c>
      <c r="AG96" s="45"/>
      <c r="AH96" s="46"/>
      <c r="AI96" s="46"/>
      <c r="AJ96" s="46"/>
    </row>
    <row r="97" spans="1:36" s="47" customFormat="1" ht="49.5" customHeight="1">
      <c r="A97" s="309"/>
      <c r="B97" s="33" t="s">
        <v>151</v>
      </c>
      <c r="C97" s="50">
        <v>25</v>
      </c>
      <c r="D97" s="50">
        <v>4</v>
      </c>
      <c r="E97" s="51">
        <v>360</v>
      </c>
      <c r="F97" s="34" t="s">
        <v>153</v>
      </c>
      <c r="G97" s="34" t="s">
        <v>99</v>
      </c>
      <c r="H97" s="35">
        <v>290.10000000000002</v>
      </c>
      <c r="I97" s="34" t="s">
        <v>45</v>
      </c>
      <c r="J97" s="36" t="s">
        <v>54</v>
      </c>
      <c r="K97" s="37">
        <v>279.89999999999998</v>
      </c>
      <c r="L97" s="38">
        <f t="shared" ref="L97" si="49">H97-K97</f>
        <v>10.200000000000045</v>
      </c>
      <c r="M97" s="38"/>
      <c r="N97" s="38"/>
      <c r="O97" s="38"/>
      <c r="P97" s="39">
        <f t="shared" si="36"/>
        <v>290.10000000000002</v>
      </c>
      <c r="Q97" s="312"/>
      <c r="R97" s="40">
        <v>60000</v>
      </c>
      <c r="S97" s="41">
        <f t="shared" si="44"/>
        <v>17406000</v>
      </c>
      <c r="T97" s="41"/>
      <c r="U97" s="42" t="s">
        <v>47</v>
      </c>
      <c r="V97" s="66">
        <f t="shared" si="40"/>
        <v>290.10000000000002</v>
      </c>
      <c r="W97" s="38" t="s">
        <v>48</v>
      </c>
      <c r="X97" s="41">
        <v>9500</v>
      </c>
      <c r="Y97" s="43">
        <v>1</v>
      </c>
      <c r="Z97" s="41">
        <f t="shared" si="33"/>
        <v>2755950</v>
      </c>
      <c r="AA97" s="41">
        <f t="shared" si="41"/>
        <v>2901000</v>
      </c>
      <c r="AB97" s="41">
        <f t="shared" si="38"/>
        <v>52218000</v>
      </c>
      <c r="AC97" s="38"/>
      <c r="AD97" s="44">
        <f t="shared" si="34"/>
        <v>0</v>
      </c>
      <c r="AE97" s="41">
        <f t="shared" si="35"/>
        <v>75280950</v>
      </c>
      <c r="AF97" s="315"/>
      <c r="AG97" s="45" t="s">
        <v>154</v>
      </c>
      <c r="AH97" s="46"/>
      <c r="AI97" s="46"/>
      <c r="AJ97" s="46"/>
    </row>
    <row r="98" spans="1:36" s="68" customFormat="1" ht="49.5" customHeight="1">
      <c r="A98" s="307">
        <v>30</v>
      </c>
      <c r="B98" s="33" t="s">
        <v>155</v>
      </c>
      <c r="C98" s="50"/>
      <c r="D98" s="50"/>
      <c r="E98" s="51"/>
      <c r="F98" s="34" t="s">
        <v>156</v>
      </c>
      <c r="G98" s="34" t="s">
        <v>99</v>
      </c>
      <c r="H98" s="35">
        <v>95.5</v>
      </c>
      <c r="I98" s="34" t="s">
        <v>49</v>
      </c>
      <c r="J98" s="36" t="s">
        <v>50</v>
      </c>
      <c r="K98" s="37"/>
      <c r="L98" s="38"/>
      <c r="M98" s="38">
        <v>95.5</v>
      </c>
      <c r="N98" s="38"/>
      <c r="O98" s="38"/>
      <c r="P98" s="39">
        <f t="shared" si="36"/>
        <v>95.5</v>
      </c>
      <c r="Q98" s="310">
        <f>SUM(P98:P103)</f>
        <v>306.5</v>
      </c>
      <c r="R98" s="40">
        <v>55000</v>
      </c>
      <c r="S98" s="41">
        <f>P98*R98</f>
        <v>5252500</v>
      </c>
      <c r="T98" s="41"/>
      <c r="U98" s="42" t="s">
        <v>157</v>
      </c>
      <c r="V98" s="66">
        <v>21</v>
      </c>
      <c r="W98" s="38" t="s">
        <v>52</v>
      </c>
      <c r="X98" s="41">
        <v>118000</v>
      </c>
      <c r="Y98" s="43">
        <v>1</v>
      </c>
      <c r="Z98" s="41">
        <f t="shared" si="33"/>
        <v>2478000</v>
      </c>
      <c r="AA98" s="41">
        <f>P98*7000</f>
        <v>668500</v>
      </c>
      <c r="AB98" s="41">
        <f>P98*R98*3</f>
        <v>15757500</v>
      </c>
      <c r="AC98" s="38"/>
      <c r="AD98" s="44">
        <f t="shared" si="34"/>
        <v>0</v>
      </c>
      <c r="AE98" s="41">
        <f t="shared" si="35"/>
        <v>24156500</v>
      </c>
      <c r="AF98" s="313">
        <f>SUM(AE98:AE103)</f>
        <v>83293700</v>
      </c>
      <c r="AG98" s="45"/>
      <c r="AH98" s="67"/>
      <c r="AI98" s="67"/>
      <c r="AJ98" s="67"/>
    </row>
    <row r="99" spans="1:36" s="68" customFormat="1" ht="49.5" customHeight="1">
      <c r="A99" s="308"/>
      <c r="B99" s="33" t="s">
        <v>155</v>
      </c>
      <c r="C99" s="50"/>
      <c r="D99" s="50"/>
      <c r="E99" s="51"/>
      <c r="F99" s="34" t="s">
        <v>156</v>
      </c>
      <c r="G99" s="34" t="s">
        <v>99</v>
      </c>
      <c r="H99" s="35">
        <v>95.5</v>
      </c>
      <c r="I99" s="34" t="s">
        <v>49</v>
      </c>
      <c r="J99" s="36" t="s">
        <v>50</v>
      </c>
      <c r="K99" s="37"/>
      <c r="L99" s="38"/>
      <c r="M99" s="38"/>
      <c r="N99" s="38"/>
      <c r="O99" s="38"/>
      <c r="P99" s="39">
        <f t="shared" si="36"/>
        <v>0</v>
      </c>
      <c r="Q99" s="311"/>
      <c r="R99" s="40"/>
      <c r="S99" s="41">
        <f t="shared" si="44"/>
        <v>0</v>
      </c>
      <c r="T99" s="41"/>
      <c r="U99" s="42" t="s">
        <v>100</v>
      </c>
      <c r="V99" s="66">
        <f>40-21</f>
        <v>19</v>
      </c>
      <c r="W99" s="38" t="s">
        <v>52</v>
      </c>
      <c r="X99" s="41"/>
      <c r="Y99" s="43"/>
      <c r="Z99" s="41">
        <f t="shared" si="33"/>
        <v>0</v>
      </c>
      <c r="AA99" s="41">
        <f t="shared" si="41"/>
        <v>0</v>
      </c>
      <c r="AB99" s="41">
        <f t="shared" si="38"/>
        <v>0</v>
      </c>
      <c r="AC99" s="38"/>
      <c r="AD99" s="44">
        <f t="shared" si="34"/>
        <v>0</v>
      </c>
      <c r="AE99" s="41">
        <f t="shared" si="35"/>
        <v>0</v>
      </c>
      <c r="AF99" s="314"/>
      <c r="AG99" s="45" t="s">
        <v>53</v>
      </c>
      <c r="AH99" s="67"/>
      <c r="AI99" s="67"/>
      <c r="AJ99" s="67"/>
    </row>
    <row r="100" spans="1:36" s="68" customFormat="1" ht="61.5" customHeight="1">
      <c r="A100" s="308"/>
      <c r="B100" s="33" t="s">
        <v>155</v>
      </c>
      <c r="C100" s="50">
        <v>107</v>
      </c>
      <c r="D100" s="50">
        <v>5</v>
      </c>
      <c r="E100" s="51">
        <v>192</v>
      </c>
      <c r="F100" s="34" t="s">
        <v>158</v>
      </c>
      <c r="G100" s="34" t="s">
        <v>159</v>
      </c>
      <c r="H100" s="35">
        <v>202.5</v>
      </c>
      <c r="I100" s="34" t="s">
        <v>49</v>
      </c>
      <c r="J100" s="36" t="s">
        <v>50</v>
      </c>
      <c r="K100" s="37">
        <v>79.8</v>
      </c>
      <c r="L100" s="38"/>
      <c r="M100" s="38"/>
      <c r="N100" s="38"/>
      <c r="O100" s="38"/>
      <c r="P100" s="39">
        <f t="shared" si="36"/>
        <v>79.8</v>
      </c>
      <c r="Q100" s="311"/>
      <c r="R100" s="40">
        <v>60000</v>
      </c>
      <c r="S100" s="41">
        <f>P100*R100</f>
        <v>4788000</v>
      </c>
      <c r="T100" s="41"/>
      <c r="U100" s="42" t="s">
        <v>130</v>
      </c>
      <c r="V100" s="66">
        <v>17</v>
      </c>
      <c r="W100" s="38" t="s">
        <v>52</v>
      </c>
      <c r="X100" s="41">
        <v>118000</v>
      </c>
      <c r="Y100" s="43">
        <v>0.8</v>
      </c>
      <c r="Z100" s="41">
        <f t="shared" si="33"/>
        <v>1604800</v>
      </c>
      <c r="AA100" s="41">
        <f>P100*10000</f>
        <v>798000</v>
      </c>
      <c r="AB100" s="41">
        <f t="shared" si="38"/>
        <v>14364000</v>
      </c>
      <c r="AC100" s="38"/>
      <c r="AD100" s="44">
        <f t="shared" si="34"/>
        <v>0</v>
      </c>
      <c r="AE100" s="41">
        <f t="shared" si="35"/>
        <v>21554800</v>
      </c>
      <c r="AF100" s="314"/>
      <c r="AG100" s="45"/>
      <c r="AH100" s="67"/>
      <c r="AI100" s="67"/>
      <c r="AJ100" s="67"/>
    </row>
    <row r="101" spans="1:36" s="68" customFormat="1" ht="61.5" customHeight="1">
      <c r="A101" s="308"/>
      <c r="B101" s="33" t="s">
        <v>155</v>
      </c>
      <c r="C101" s="50"/>
      <c r="D101" s="50"/>
      <c r="E101" s="51"/>
      <c r="F101" s="34" t="s">
        <v>158</v>
      </c>
      <c r="G101" s="34" t="s">
        <v>159</v>
      </c>
      <c r="H101" s="35">
        <v>202.5</v>
      </c>
      <c r="I101" s="34" t="s">
        <v>49</v>
      </c>
      <c r="J101" s="36" t="s">
        <v>50</v>
      </c>
      <c r="K101" s="37"/>
      <c r="L101" s="38"/>
      <c r="M101" s="38"/>
      <c r="N101" s="38"/>
      <c r="O101" s="38"/>
      <c r="P101" s="39">
        <f t="shared" si="36"/>
        <v>0</v>
      </c>
      <c r="Q101" s="311"/>
      <c r="R101" s="40"/>
      <c r="S101" s="41">
        <f t="shared" si="44"/>
        <v>0</v>
      </c>
      <c r="T101" s="41"/>
      <c r="U101" s="42" t="s">
        <v>130</v>
      </c>
      <c r="V101" s="66">
        <f>27-18</f>
        <v>9</v>
      </c>
      <c r="W101" s="38" t="s">
        <v>52</v>
      </c>
      <c r="X101" s="41"/>
      <c r="Y101" s="43">
        <v>1</v>
      </c>
      <c r="Z101" s="41">
        <f t="shared" si="33"/>
        <v>0</v>
      </c>
      <c r="AA101" s="41">
        <f t="shared" si="41"/>
        <v>0</v>
      </c>
      <c r="AB101" s="41">
        <f t="shared" si="38"/>
        <v>0</v>
      </c>
      <c r="AC101" s="38"/>
      <c r="AD101" s="44">
        <f t="shared" si="34"/>
        <v>0</v>
      </c>
      <c r="AE101" s="41">
        <f t="shared" si="35"/>
        <v>0</v>
      </c>
      <c r="AF101" s="314"/>
      <c r="AG101" s="45" t="s">
        <v>53</v>
      </c>
      <c r="AH101" s="67"/>
      <c r="AI101" s="67"/>
      <c r="AJ101" s="67"/>
    </row>
    <row r="102" spans="1:36" s="68" customFormat="1" ht="61.5" customHeight="1">
      <c r="A102" s="308"/>
      <c r="B102" s="33" t="s">
        <v>155</v>
      </c>
      <c r="C102" s="50"/>
      <c r="D102" s="50"/>
      <c r="E102" s="51"/>
      <c r="F102" s="34" t="s">
        <v>160</v>
      </c>
      <c r="G102" s="34" t="s">
        <v>99</v>
      </c>
      <c r="H102" s="35">
        <v>131.19999999999999</v>
      </c>
      <c r="I102" s="34" t="s">
        <v>49</v>
      </c>
      <c r="J102" s="36" t="s">
        <v>50</v>
      </c>
      <c r="K102" s="37"/>
      <c r="L102" s="38"/>
      <c r="M102" s="38">
        <v>131.19999999999999</v>
      </c>
      <c r="N102" s="38"/>
      <c r="O102" s="38"/>
      <c r="P102" s="39">
        <f t="shared" si="36"/>
        <v>131.19999999999999</v>
      </c>
      <c r="Q102" s="311"/>
      <c r="R102" s="40">
        <v>55000</v>
      </c>
      <c r="S102" s="41">
        <f>P102*R102</f>
        <v>7215999.9999999991</v>
      </c>
      <c r="T102" s="41"/>
      <c r="U102" s="42" t="s">
        <v>90</v>
      </c>
      <c r="V102" s="66">
        <v>26</v>
      </c>
      <c r="W102" s="38" t="s">
        <v>52</v>
      </c>
      <c r="X102" s="41">
        <v>300000</v>
      </c>
      <c r="Y102" s="43">
        <v>1</v>
      </c>
      <c r="Z102" s="41">
        <f t="shared" si="33"/>
        <v>7800000</v>
      </c>
      <c r="AA102" s="41">
        <f>P102*7000</f>
        <v>918399.99999999988</v>
      </c>
      <c r="AB102" s="41">
        <f>P102*R102*3</f>
        <v>21647999.999999996</v>
      </c>
      <c r="AC102" s="38"/>
      <c r="AD102" s="44">
        <f t="shared" si="34"/>
        <v>0</v>
      </c>
      <c r="AE102" s="41">
        <f t="shared" si="35"/>
        <v>37582400</v>
      </c>
      <c r="AF102" s="314"/>
      <c r="AG102" s="45"/>
      <c r="AH102" s="67"/>
      <c r="AI102" s="67"/>
      <c r="AJ102" s="67"/>
    </row>
    <row r="103" spans="1:36" s="68" customFormat="1" ht="61.5" customHeight="1">
      <c r="A103" s="309"/>
      <c r="B103" s="33" t="s">
        <v>155</v>
      </c>
      <c r="C103" s="50"/>
      <c r="D103" s="50"/>
      <c r="E103" s="51"/>
      <c r="F103" s="34" t="s">
        <v>160</v>
      </c>
      <c r="G103" s="34" t="s">
        <v>99</v>
      </c>
      <c r="H103" s="35">
        <v>131.19999999999999</v>
      </c>
      <c r="I103" s="34" t="s">
        <v>49</v>
      </c>
      <c r="J103" s="36" t="s">
        <v>50</v>
      </c>
      <c r="K103" s="37"/>
      <c r="L103" s="38"/>
      <c r="M103" s="38"/>
      <c r="N103" s="38"/>
      <c r="O103" s="38"/>
      <c r="P103" s="39">
        <f t="shared" si="36"/>
        <v>0</v>
      </c>
      <c r="Q103" s="312"/>
      <c r="R103" s="40"/>
      <c r="S103" s="41">
        <f t="shared" si="44"/>
        <v>0</v>
      </c>
      <c r="T103" s="41"/>
      <c r="U103" s="42" t="s">
        <v>90</v>
      </c>
      <c r="V103" s="66">
        <f>72-26</f>
        <v>46</v>
      </c>
      <c r="W103" s="38" t="s">
        <v>52</v>
      </c>
      <c r="X103" s="41"/>
      <c r="Y103" s="43">
        <v>1</v>
      </c>
      <c r="Z103" s="41">
        <f t="shared" si="33"/>
        <v>0</v>
      </c>
      <c r="AA103" s="41">
        <f t="shared" si="41"/>
        <v>0</v>
      </c>
      <c r="AB103" s="41">
        <f t="shared" si="38"/>
        <v>0</v>
      </c>
      <c r="AC103" s="38"/>
      <c r="AD103" s="44">
        <f t="shared" si="34"/>
        <v>0</v>
      </c>
      <c r="AE103" s="41">
        <f t="shared" si="35"/>
        <v>0</v>
      </c>
      <c r="AF103" s="315"/>
      <c r="AG103" s="45" t="s">
        <v>53</v>
      </c>
      <c r="AH103" s="67"/>
      <c r="AI103" s="67"/>
      <c r="AJ103" s="67"/>
    </row>
    <row r="104" spans="1:36" s="68" customFormat="1" ht="63.75" customHeight="1">
      <c r="A104" s="307">
        <v>31</v>
      </c>
      <c r="B104" s="33" t="s">
        <v>161</v>
      </c>
      <c r="C104" s="50">
        <v>52</v>
      </c>
      <c r="D104" s="50">
        <v>4</v>
      </c>
      <c r="E104" s="51">
        <v>528</v>
      </c>
      <c r="F104" s="79" t="s">
        <v>162</v>
      </c>
      <c r="G104" s="79" t="s">
        <v>99</v>
      </c>
      <c r="H104" s="80">
        <v>1196.8</v>
      </c>
      <c r="I104" s="79" t="s">
        <v>45</v>
      </c>
      <c r="J104" s="72" t="s">
        <v>163</v>
      </c>
      <c r="K104" s="37">
        <f t="shared" ref="K104:K130" si="50">E104</f>
        <v>528</v>
      </c>
      <c r="L104" s="38">
        <f>1148.9-528-240</f>
        <v>380.90000000000009</v>
      </c>
      <c r="M104" s="38"/>
      <c r="N104" s="38"/>
      <c r="O104" s="38">
        <f>1196.8-1148.9</f>
        <v>47.899999999999864</v>
      </c>
      <c r="P104" s="39">
        <f t="shared" si="36"/>
        <v>956.8</v>
      </c>
      <c r="Q104" s="310">
        <f>SUM(P104:P106)</f>
        <v>1742.3999999999999</v>
      </c>
      <c r="R104" s="40">
        <v>60000</v>
      </c>
      <c r="S104" s="41">
        <f t="shared" si="44"/>
        <v>57408000</v>
      </c>
      <c r="T104" s="41"/>
      <c r="U104" s="42" t="s">
        <v>164</v>
      </c>
      <c r="V104" s="66">
        <v>211</v>
      </c>
      <c r="W104" s="38" t="s">
        <v>52</v>
      </c>
      <c r="X104" s="41">
        <v>123000</v>
      </c>
      <c r="Y104" s="43">
        <v>0.8</v>
      </c>
      <c r="Z104" s="41">
        <f t="shared" si="33"/>
        <v>20762400</v>
      </c>
      <c r="AA104" s="41">
        <f t="shared" si="41"/>
        <v>9568000</v>
      </c>
      <c r="AB104" s="41">
        <f t="shared" si="38"/>
        <v>172224000</v>
      </c>
      <c r="AC104" s="38">
        <v>4</v>
      </c>
      <c r="AD104" s="44">
        <f t="shared" si="34"/>
        <v>14000000</v>
      </c>
      <c r="AE104" s="41">
        <f t="shared" si="35"/>
        <v>273962400</v>
      </c>
      <c r="AF104" s="313">
        <f>SUM(AE104:AE106)</f>
        <v>486683450</v>
      </c>
      <c r="AG104" s="45"/>
      <c r="AH104" s="67"/>
      <c r="AI104" s="67"/>
      <c r="AJ104" s="67"/>
    </row>
    <row r="105" spans="1:36" s="68" customFormat="1" ht="49.5" customHeight="1">
      <c r="A105" s="308"/>
      <c r="B105" s="33" t="s">
        <v>161</v>
      </c>
      <c r="C105" s="50">
        <v>99</v>
      </c>
      <c r="D105" s="50">
        <v>4</v>
      </c>
      <c r="E105" s="51">
        <v>576</v>
      </c>
      <c r="F105" s="34" t="s">
        <v>165</v>
      </c>
      <c r="G105" s="34" t="s">
        <v>99</v>
      </c>
      <c r="H105" s="35">
        <v>555.9</v>
      </c>
      <c r="I105" s="34" t="s">
        <v>45</v>
      </c>
      <c r="J105" s="36" t="s">
        <v>60</v>
      </c>
      <c r="K105" s="37">
        <v>555.9</v>
      </c>
      <c r="L105" s="38">
        <f>H105-K105</f>
        <v>0</v>
      </c>
      <c r="M105" s="38"/>
      <c r="N105" s="38"/>
      <c r="O105" s="38"/>
      <c r="P105" s="39">
        <f t="shared" si="36"/>
        <v>555.9</v>
      </c>
      <c r="Q105" s="311"/>
      <c r="R105" s="40">
        <v>60000</v>
      </c>
      <c r="S105" s="41">
        <f t="shared" si="44"/>
        <v>33354000</v>
      </c>
      <c r="T105" s="41"/>
      <c r="U105" s="42" t="s">
        <v>47</v>
      </c>
      <c r="V105" s="66">
        <f t="shared" ref="V105:V139" si="51">P105</f>
        <v>555.9</v>
      </c>
      <c r="W105" s="38" t="s">
        <v>52</v>
      </c>
      <c r="X105" s="41">
        <v>9500</v>
      </c>
      <c r="Y105" s="43">
        <v>1</v>
      </c>
      <c r="Z105" s="41">
        <f t="shared" si="33"/>
        <v>5281050</v>
      </c>
      <c r="AA105" s="41">
        <f t="shared" si="41"/>
        <v>5559000</v>
      </c>
      <c r="AB105" s="41">
        <f t="shared" si="38"/>
        <v>100062000</v>
      </c>
      <c r="AC105" s="38"/>
      <c r="AD105" s="44">
        <f t="shared" si="34"/>
        <v>0</v>
      </c>
      <c r="AE105" s="41">
        <f t="shared" si="35"/>
        <v>144256050</v>
      </c>
      <c r="AF105" s="314"/>
      <c r="AG105" s="45"/>
      <c r="AH105" s="67"/>
      <c r="AI105" s="67"/>
      <c r="AJ105" s="67"/>
    </row>
    <row r="106" spans="1:36" s="68" customFormat="1" ht="63.75" customHeight="1">
      <c r="A106" s="309"/>
      <c r="B106" s="33" t="s">
        <v>161</v>
      </c>
      <c r="C106" s="50">
        <v>125</v>
      </c>
      <c r="D106" s="50">
        <v>5</v>
      </c>
      <c r="E106" s="51">
        <v>192</v>
      </c>
      <c r="F106" s="34" t="s">
        <v>166</v>
      </c>
      <c r="G106" s="34" t="s">
        <v>99</v>
      </c>
      <c r="H106" s="35">
        <v>229.7</v>
      </c>
      <c r="I106" s="34" t="s">
        <v>49</v>
      </c>
      <c r="J106" s="36" t="s">
        <v>50</v>
      </c>
      <c r="K106" s="37">
        <f t="shared" si="50"/>
        <v>192</v>
      </c>
      <c r="L106" s="38">
        <f>H106-K106</f>
        <v>37.699999999999989</v>
      </c>
      <c r="M106" s="38"/>
      <c r="N106" s="38"/>
      <c r="O106" s="38"/>
      <c r="P106" s="39">
        <f t="shared" si="36"/>
        <v>229.7</v>
      </c>
      <c r="Q106" s="312"/>
      <c r="R106" s="40">
        <v>60000</v>
      </c>
      <c r="S106" s="41">
        <f t="shared" si="44"/>
        <v>13782000</v>
      </c>
      <c r="T106" s="41"/>
      <c r="U106" s="42" t="s">
        <v>90</v>
      </c>
      <c r="V106" s="66">
        <v>46</v>
      </c>
      <c r="W106" s="38" t="s">
        <v>52</v>
      </c>
      <c r="X106" s="41">
        <v>300000</v>
      </c>
      <c r="Y106" s="43">
        <v>0.8</v>
      </c>
      <c r="Z106" s="41">
        <f t="shared" si="33"/>
        <v>11040000</v>
      </c>
      <c r="AA106" s="41">
        <f t="shared" si="41"/>
        <v>2297000</v>
      </c>
      <c r="AB106" s="41">
        <f t="shared" si="38"/>
        <v>41346000</v>
      </c>
      <c r="AC106" s="38"/>
      <c r="AD106" s="44">
        <f t="shared" si="34"/>
        <v>0</v>
      </c>
      <c r="AE106" s="41">
        <f t="shared" si="35"/>
        <v>68465000</v>
      </c>
      <c r="AF106" s="315"/>
      <c r="AG106" s="45"/>
      <c r="AH106" s="67"/>
      <c r="AI106" s="67"/>
      <c r="AJ106" s="67"/>
    </row>
    <row r="107" spans="1:36" s="68" customFormat="1" ht="72.75" customHeight="1">
      <c r="A107" s="307">
        <v>32</v>
      </c>
      <c r="B107" s="33" t="s">
        <v>167</v>
      </c>
      <c r="C107" s="50">
        <v>52</v>
      </c>
      <c r="D107" s="50">
        <v>4</v>
      </c>
      <c r="E107" s="51">
        <v>240</v>
      </c>
      <c r="F107" s="79" t="s">
        <v>162</v>
      </c>
      <c r="G107" s="79" t="s">
        <v>99</v>
      </c>
      <c r="H107" s="80">
        <v>1196.8</v>
      </c>
      <c r="I107" s="79" t="s">
        <v>45</v>
      </c>
      <c r="J107" s="72" t="s">
        <v>163</v>
      </c>
      <c r="K107" s="37">
        <f t="shared" si="50"/>
        <v>240</v>
      </c>
      <c r="L107" s="38"/>
      <c r="M107" s="38"/>
      <c r="N107" s="38"/>
      <c r="O107" s="38"/>
      <c r="P107" s="39">
        <f t="shared" si="36"/>
        <v>240</v>
      </c>
      <c r="Q107" s="310">
        <f>240</f>
        <v>240</v>
      </c>
      <c r="R107" s="40">
        <v>60000</v>
      </c>
      <c r="S107" s="41">
        <f t="shared" si="44"/>
        <v>14400000</v>
      </c>
      <c r="T107" s="41"/>
      <c r="U107" s="42" t="s">
        <v>168</v>
      </c>
      <c r="V107" s="66">
        <v>53</v>
      </c>
      <c r="W107" s="38" t="s">
        <v>52</v>
      </c>
      <c r="X107" s="41">
        <v>123000</v>
      </c>
      <c r="Y107" s="43">
        <v>0.8</v>
      </c>
      <c r="Z107" s="41">
        <f t="shared" si="33"/>
        <v>5215200</v>
      </c>
      <c r="AA107" s="41">
        <f t="shared" si="41"/>
        <v>2400000</v>
      </c>
      <c r="AB107" s="41">
        <f t="shared" si="38"/>
        <v>43200000</v>
      </c>
      <c r="AC107" s="38"/>
      <c r="AD107" s="44">
        <f t="shared" si="34"/>
        <v>0</v>
      </c>
      <c r="AE107" s="41">
        <f t="shared" ref="AE107" si="52">S107+Z107+AA107+AB107+AD107+T107</f>
        <v>65215200</v>
      </c>
      <c r="AF107" s="313">
        <f>AE107</f>
        <v>65215200</v>
      </c>
      <c r="AG107" s="45"/>
      <c r="AH107" s="67"/>
      <c r="AI107" s="67"/>
      <c r="AJ107" s="67"/>
    </row>
    <row r="108" spans="1:36" s="68" customFormat="1" ht="72.75" customHeight="1">
      <c r="A108" s="308"/>
      <c r="B108" s="33" t="s">
        <v>167</v>
      </c>
      <c r="C108" s="50"/>
      <c r="D108" s="50"/>
      <c r="E108" s="51"/>
      <c r="F108" s="79" t="s">
        <v>162</v>
      </c>
      <c r="G108" s="79" t="s">
        <v>99</v>
      </c>
      <c r="H108" s="80">
        <v>1196.8</v>
      </c>
      <c r="I108" s="79" t="s">
        <v>45</v>
      </c>
      <c r="J108" s="72" t="s">
        <v>163</v>
      </c>
      <c r="K108" s="37"/>
      <c r="L108" s="38"/>
      <c r="M108" s="38"/>
      <c r="N108" s="38"/>
      <c r="O108" s="38"/>
      <c r="P108" s="39">
        <f t="shared" si="36"/>
        <v>0</v>
      </c>
      <c r="Q108" s="311"/>
      <c r="R108" s="40"/>
      <c r="S108" s="41"/>
      <c r="T108" s="41"/>
      <c r="U108" s="42" t="s">
        <v>168</v>
      </c>
      <c r="V108" s="66">
        <v>23</v>
      </c>
      <c r="W108" s="38" t="s">
        <v>52</v>
      </c>
      <c r="X108" s="41"/>
      <c r="Y108" s="43"/>
      <c r="Z108" s="41"/>
      <c r="AA108" s="41"/>
      <c r="AB108" s="41"/>
      <c r="AC108" s="38"/>
      <c r="AD108" s="44">
        <f t="shared" si="34"/>
        <v>0</v>
      </c>
      <c r="AE108" s="41"/>
      <c r="AF108" s="314"/>
      <c r="AG108" s="45" t="s">
        <v>169</v>
      </c>
      <c r="AH108" s="67"/>
      <c r="AI108" s="67"/>
      <c r="AJ108" s="67"/>
    </row>
    <row r="109" spans="1:36" s="68" customFormat="1" ht="72.75" customHeight="1">
      <c r="A109" s="309"/>
      <c r="B109" s="33" t="s">
        <v>167</v>
      </c>
      <c r="C109" s="50"/>
      <c r="D109" s="50"/>
      <c r="E109" s="51"/>
      <c r="F109" s="79" t="s">
        <v>162</v>
      </c>
      <c r="G109" s="79" t="s">
        <v>99</v>
      </c>
      <c r="H109" s="80">
        <v>1196.8</v>
      </c>
      <c r="I109" s="79" t="s">
        <v>45</v>
      </c>
      <c r="J109" s="72" t="s">
        <v>163</v>
      </c>
      <c r="K109" s="37"/>
      <c r="L109" s="38"/>
      <c r="M109" s="38"/>
      <c r="N109" s="38"/>
      <c r="O109" s="38"/>
      <c r="P109" s="39">
        <f t="shared" si="36"/>
        <v>0</v>
      </c>
      <c r="Q109" s="312"/>
      <c r="R109" s="40"/>
      <c r="S109" s="41"/>
      <c r="T109" s="41"/>
      <c r="U109" s="42" t="s">
        <v>170</v>
      </c>
      <c r="V109" s="66">
        <v>40</v>
      </c>
      <c r="W109" s="38" t="s">
        <v>52</v>
      </c>
      <c r="X109" s="41"/>
      <c r="Y109" s="43"/>
      <c r="Z109" s="41"/>
      <c r="AA109" s="41"/>
      <c r="AB109" s="41"/>
      <c r="AC109" s="38"/>
      <c r="AD109" s="44">
        <f t="shared" si="34"/>
        <v>0</v>
      </c>
      <c r="AE109" s="41"/>
      <c r="AF109" s="315"/>
      <c r="AG109" s="45" t="s">
        <v>169</v>
      </c>
      <c r="AH109" s="67"/>
      <c r="AI109" s="67"/>
      <c r="AJ109" s="67"/>
    </row>
    <row r="110" spans="1:36" s="47" customFormat="1" ht="56.25" customHeight="1">
      <c r="A110" s="307">
        <v>33</v>
      </c>
      <c r="B110" s="33" t="s">
        <v>171</v>
      </c>
      <c r="C110" s="50">
        <v>187</v>
      </c>
      <c r="D110" s="50">
        <v>5</v>
      </c>
      <c r="E110" s="51">
        <v>144</v>
      </c>
      <c r="F110" s="34" t="s">
        <v>172</v>
      </c>
      <c r="G110" s="34" t="s">
        <v>99</v>
      </c>
      <c r="H110" s="35">
        <v>160.1</v>
      </c>
      <c r="I110" s="34" t="s">
        <v>45</v>
      </c>
      <c r="J110" s="36" t="s">
        <v>57</v>
      </c>
      <c r="K110" s="37">
        <f t="shared" si="50"/>
        <v>144</v>
      </c>
      <c r="L110" s="38">
        <f t="shared" ref="L110:L117" si="53">H110-K110</f>
        <v>16.099999999999994</v>
      </c>
      <c r="M110" s="38"/>
      <c r="N110" s="38"/>
      <c r="O110" s="38"/>
      <c r="P110" s="39">
        <f t="shared" si="36"/>
        <v>160.1</v>
      </c>
      <c r="Q110" s="310">
        <f>SUM(P110:P113)</f>
        <v>486.3</v>
      </c>
      <c r="R110" s="40">
        <v>60000</v>
      </c>
      <c r="S110" s="41">
        <f t="shared" ref="S110:S111" si="54">P110*R110</f>
        <v>9606000</v>
      </c>
      <c r="T110" s="41"/>
      <c r="U110" s="42" t="s">
        <v>47</v>
      </c>
      <c r="V110" s="66">
        <f t="shared" si="51"/>
        <v>160.1</v>
      </c>
      <c r="W110" s="38" t="s">
        <v>48</v>
      </c>
      <c r="X110" s="41">
        <v>9500</v>
      </c>
      <c r="Y110" s="43">
        <v>1</v>
      </c>
      <c r="Z110" s="41">
        <f t="shared" si="33"/>
        <v>1520950</v>
      </c>
      <c r="AA110" s="41">
        <f t="shared" ref="AA110:AA111" si="55">P110*10000</f>
        <v>1601000</v>
      </c>
      <c r="AB110" s="41">
        <f t="shared" ref="AB110:AB145" si="56">P110*R110*3</f>
        <v>28818000</v>
      </c>
      <c r="AC110" s="38">
        <v>1</v>
      </c>
      <c r="AD110" s="44">
        <f t="shared" si="34"/>
        <v>3500000</v>
      </c>
      <c r="AE110" s="41">
        <f t="shared" ref="AE110:AE120" si="57">S110+Z110+AA110+AB110+AD110+T110</f>
        <v>45045950</v>
      </c>
      <c r="AF110" s="313">
        <f>SUM(AE110:AE113)</f>
        <v>129388500</v>
      </c>
      <c r="AG110" s="45"/>
      <c r="AH110" s="46"/>
      <c r="AI110" s="46"/>
      <c r="AJ110" s="46"/>
    </row>
    <row r="111" spans="1:36" s="47" customFormat="1" ht="56.25" customHeight="1">
      <c r="A111" s="308"/>
      <c r="B111" s="33" t="s">
        <v>171</v>
      </c>
      <c r="C111" s="50">
        <v>219</v>
      </c>
      <c r="D111" s="50">
        <v>4</v>
      </c>
      <c r="E111" s="51">
        <v>240</v>
      </c>
      <c r="F111" s="34">
        <v>381</v>
      </c>
      <c r="G111" s="34">
        <v>28</v>
      </c>
      <c r="H111" s="35">
        <v>192.9</v>
      </c>
      <c r="I111" s="34" t="s">
        <v>49</v>
      </c>
      <c r="J111" s="36" t="s">
        <v>57</v>
      </c>
      <c r="K111" s="37">
        <v>192</v>
      </c>
      <c r="L111" s="38">
        <f t="shared" si="53"/>
        <v>0.90000000000000568</v>
      </c>
      <c r="M111" s="38"/>
      <c r="N111" s="38"/>
      <c r="O111" s="38"/>
      <c r="P111" s="39">
        <f t="shared" si="36"/>
        <v>192.9</v>
      </c>
      <c r="Q111" s="311"/>
      <c r="R111" s="40">
        <v>60000</v>
      </c>
      <c r="S111" s="41">
        <f t="shared" si="54"/>
        <v>11574000</v>
      </c>
      <c r="T111" s="41"/>
      <c r="U111" s="42" t="s">
        <v>47</v>
      </c>
      <c r="V111" s="66">
        <f>192.9</f>
        <v>192.9</v>
      </c>
      <c r="W111" s="38" t="s">
        <v>48</v>
      </c>
      <c r="X111" s="41">
        <v>9500</v>
      </c>
      <c r="Y111" s="43">
        <v>1</v>
      </c>
      <c r="Z111" s="41">
        <f t="shared" si="33"/>
        <v>1832550</v>
      </c>
      <c r="AA111" s="41">
        <f t="shared" si="55"/>
        <v>1929000</v>
      </c>
      <c r="AB111" s="41">
        <f t="shared" si="56"/>
        <v>34722000</v>
      </c>
      <c r="AC111" s="38"/>
      <c r="AD111" s="44">
        <f t="shared" si="34"/>
        <v>0</v>
      </c>
      <c r="AE111" s="41">
        <f t="shared" si="57"/>
        <v>50057550</v>
      </c>
      <c r="AF111" s="314"/>
      <c r="AG111" s="45"/>
      <c r="AH111" s="46"/>
      <c r="AI111" s="46"/>
      <c r="AJ111" s="46"/>
    </row>
    <row r="112" spans="1:36" s="47" customFormat="1" ht="56.25" customHeight="1">
      <c r="A112" s="308"/>
      <c r="B112" s="33" t="s">
        <v>171</v>
      </c>
      <c r="C112" s="50"/>
      <c r="D112" s="50"/>
      <c r="E112" s="51"/>
      <c r="F112" s="34">
        <v>381</v>
      </c>
      <c r="G112" s="34">
        <v>28</v>
      </c>
      <c r="H112" s="35">
        <v>192.9</v>
      </c>
      <c r="I112" s="34" t="s">
        <v>49</v>
      </c>
      <c r="J112" s="36" t="s">
        <v>57</v>
      </c>
      <c r="K112" s="37"/>
      <c r="L112" s="38"/>
      <c r="M112" s="38"/>
      <c r="N112" s="38"/>
      <c r="O112" s="38"/>
      <c r="P112" s="39">
        <f t="shared" si="36"/>
        <v>0</v>
      </c>
      <c r="Q112" s="311"/>
      <c r="R112" s="40"/>
      <c r="S112" s="41">
        <f t="shared" ref="S112:S145" si="58">P112*R112</f>
        <v>0</v>
      </c>
      <c r="T112" s="41"/>
      <c r="U112" s="42" t="s">
        <v>173</v>
      </c>
      <c r="V112" s="66"/>
      <c r="W112" s="38" t="s">
        <v>48</v>
      </c>
      <c r="X112" s="41"/>
      <c r="Y112" s="43">
        <v>0</v>
      </c>
      <c r="Z112" s="41">
        <f t="shared" si="33"/>
        <v>0</v>
      </c>
      <c r="AA112" s="41">
        <f t="shared" si="41"/>
        <v>0</v>
      </c>
      <c r="AB112" s="41">
        <f t="shared" si="56"/>
        <v>0</v>
      </c>
      <c r="AC112" s="38"/>
      <c r="AD112" s="44">
        <f t="shared" si="34"/>
        <v>0</v>
      </c>
      <c r="AE112" s="41">
        <f t="shared" si="57"/>
        <v>0</v>
      </c>
      <c r="AF112" s="314"/>
      <c r="AG112" s="45" t="s">
        <v>174</v>
      </c>
      <c r="AH112" s="46"/>
      <c r="AI112" s="46"/>
      <c r="AJ112" s="46"/>
    </row>
    <row r="113" spans="1:36" s="47" customFormat="1" ht="46.5" customHeight="1">
      <c r="A113" s="309"/>
      <c r="B113" s="33" t="s">
        <v>171</v>
      </c>
      <c r="C113" s="50">
        <v>105</v>
      </c>
      <c r="D113" s="50">
        <v>5</v>
      </c>
      <c r="E113" s="51">
        <v>132</v>
      </c>
      <c r="F113" s="34">
        <v>860</v>
      </c>
      <c r="G113" s="34">
        <v>28</v>
      </c>
      <c r="H113" s="35">
        <v>133.30000000000001</v>
      </c>
      <c r="I113" s="34" t="s">
        <v>49</v>
      </c>
      <c r="J113" s="36" t="s">
        <v>50</v>
      </c>
      <c r="K113" s="37">
        <f t="shared" si="50"/>
        <v>132</v>
      </c>
      <c r="L113" s="38">
        <f t="shared" si="53"/>
        <v>1.3000000000000114</v>
      </c>
      <c r="M113" s="38"/>
      <c r="N113" s="38"/>
      <c r="O113" s="38"/>
      <c r="P113" s="39">
        <f t="shared" si="36"/>
        <v>133.30000000000001</v>
      </c>
      <c r="Q113" s="312"/>
      <c r="R113" s="40">
        <v>60000</v>
      </c>
      <c r="S113" s="41">
        <f t="shared" si="58"/>
        <v>7998000.0000000009</v>
      </c>
      <c r="T113" s="41"/>
      <c r="U113" s="42" t="s">
        <v>175</v>
      </c>
      <c r="V113" s="60">
        <v>30</v>
      </c>
      <c r="W113" s="38" t="s">
        <v>52</v>
      </c>
      <c r="X113" s="41">
        <v>40000</v>
      </c>
      <c r="Y113" s="43">
        <v>0.8</v>
      </c>
      <c r="Z113" s="41">
        <f t="shared" si="33"/>
        <v>960000</v>
      </c>
      <c r="AA113" s="41">
        <f t="shared" si="41"/>
        <v>1333000</v>
      </c>
      <c r="AB113" s="41">
        <f t="shared" si="56"/>
        <v>23994000.000000004</v>
      </c>
      <c r="AC113" s="38"/>
      <c r="AD113" s="44">
        <f t="shared" si="34"/>
        <v>0</v>
      </c>
      <c r="AE113" s="41">
        <f t="shared" si="57"/>
        <v>34285000</v>
      </c>
      <c r="AF113" s="315"/>
      <c r="AG113" s="45"/>
      <c r="AH113" s="46"/>
      <c r="AI113" s="46"/>
      <c r="AJ113" s="46"/>
    </row>
    <row r="114" spans="1:36" s="47" customFormat="1" ht="56.25" customHeight="1">
      <c r="A114" s="307">
        <v>34</v>
      </c>
      <c r="B114" s="33" t="s">
        <v>176</v>
      </c>
      <c r="C114" s="50">
        <v>108</v>
      </c>
      <c r="D114" s="50">
        <v>5</v>
      </c>
      <c r="E114" s="51">
        <v>144</v>
      </c>
      <c r="F114" s="34" t="s">
        <v>177</v>
      </c>
      <c r="G114" s="34" t="s">
        <v>99</v>
      </c>
      <c r="H114" s="35">
        <v>178.3</v>
      </c>
      <c r="I114" s="34" t="s">
        <v>49</v>
      </c>
      <c r="J114" s="36" t="s">
        <v>50</v>
      </c>
      <c r="K114" s="37">
        <f t="shared" si="50"/>
        <v>144</v>
      </c>
      <c r="L114" s="38">
        <f t="shared" si="53"/>
        <v>34.300000000000011</v>
      </c>
      <c r="M114" s="38"/>
      <c r="N114" s="38"/>
      <c r="O114" s="38"/>
      <c r="P114" s="39">
        <f t="shared" si="36"/>
        <v>178.3</v>
      </c>
      <c r="Q114" s="310">
        <f>SUM(P114:P118)</f>
        <v>1023.1999999999999</v>
      </c>
      <c r="R114" s="40">
        <v>60000</v>
      </c>
      <c r="S114" s="41">
        <f t="shared" si="58"/>
        <v>10698000</v>
      </c>
      <c r="T114" s="41"/>
      <c r="U114" s="42" t="s">
        <v>178</v>
      </c>
      <c r="V114" s="66">
        <f t="shared" si="51"/>
        <v>178.3</v>
      </c>
      <c r="W114" s="38" t="s">
        <v>48</v>
      </c>
      <c r="X114" s="41">
        <v>58300</v>
      </c>
      <c r="Y114" s="43">
        <v>1</v>
      </c>
      <c r="Z114" s="41">
        <f t="shared" si="33"/>
        <v>10394890</v>
      </c>
      <c r="AA114" s="41">
        <f t="shared" si="41"/>
        <v>1783000</v>
      </c>
      <c r="AB114" s="41">
        <f t="shared" si="56"/>
        <v>32094000</v>
      </c>
      <c r="AC114" s="38">
        <v>2</v>
      </c>
      <c r="AD114" s="44">
        <f t="shared" si="34"/>
        <v>7000000</v>
      </c>
      <c r="AE114" s="41">
        <f t="shared" si="57"/>
        <v>61969890</v>
      </c>
      <c r="AF114" s="313">
        <f>SUM(AE114:AE118)</f>
        <v>302917920</v>
      </c>
      <c r="AG114" s="45"/>
      <c r="AH114" s="46"/>
      <c r="AI114" s="46"/>
      <c r="AJ114" s="46"/>
    </row>
    <row r="115" spans="1:36" s="47" customFormat="1" ht="56.25" customHeight="1">
      <c r="A115" s="308"/>
      <c r="B115" s="33" t="s">
        <v>176</v>
      </c>
      <c r="C115" s="50">
        <v>128</v>
      </c>
      <c r="D115" s="50">
        <v>5</v>
      </c>
      <c r="E115" s="51">
        <v>180</v>
      </c>
      <c r="F115" s="34" t="s">
        <v>179</v>
      </c>
      <c r="G115" s="34" t="s">
        <v>159</v>
      </c>
      <c r="H115" s="35">
        <v>177.7</v>
      </c>
      <c r="I115" s="34" t="s">
        <v>49</v>
      </c>
      <c r="J115" s="36" t="s">
        <v>50</v>
      </c>
      <c r="K115" s="37">
        <v>177.7</v>
      </c>
      <c r="L115" s="38"/>
      <c r="M115" s="38"/>
      <c r="N115" s="38"/>
      <c r="O115" s="38"/>
      <c r="P115" s="39">
        <f t="shared" si="36"/>
        <v>177.7</v>
      </c>
      <c r="Q115" s="311"/>
      <c r="R115" s="40">
        <v>60000</v>
      </c>
      <c r="S115" s="41">
        <f t="shared" si="58"/>
        <v>10662000</v>
      </c>
      <c r="T115" s="41"/>
      <c r="U115" s="42" t="s">
        <v>178</v>
      </c>
      <c r="V115" s="66">
        <f t="shared" si="51"/>
        <v>177.7</v>
      </c>
      <c r="W115" s="38" t="s">
        <v>48</v>
      </c>
      <c r="X115" s="41">
        <v>58300</v>
      </c>
      <c r="Y115" s="43">
        <v>1</v>
      </c>
      <c r="Z115" s="41">
        <f t="shared" si="33"/>
        <v>10359910</v>
      </c>
      <c r="AA115" s="41">
        <f t="shared" si="41"/>
        <v>1777000</v>
      </c>
      <c r="AB115" s="41">
        <f t="shared" si="56"/>
        <v>31986000</v>
      </c>
      <c r="AC115" s="38"/>
      <c r="AD115" s="44">
        <f t="shared" si="34"/>
        <v>0</v>
      </c>
      <c r="AE115" s="41">
        <f t="shared" si="57"/>
        <v>54784910</v>
      </c>
      <c r="AF115" s="314"/>
      <c r="AG115" s="45"/>
      <c r="AH115" s="46"/>
      <c r="AI115" s="46"/>
      <c r="AJ115" s="46"/>
    </row>
    <row r="116" spans="1:36" s="47" customFormat="1" ht="56.25" customHeight="1">
      <c r="A116" s="308"/>
      <c r="B116" s="33" t="s">
        <v>176</v>
      </c>
      <c r="C116" s="50">
        <v>179</v>
      </c>
      <c r="D116" s="50">
        <v>5</v>
      </c>
      <c r="E116" s="51">
        <v>240</v>
      </c>
      <c r="F116" s="34" t="s">
        <v>180</v>
      </c>
      <c r="G116" s="34" t="s">
        <v>99</v>
      </c>
      <c r="H116" s="35">
        <v>266.89999999999998</v>
      </c>
      <c r="I116" s="34" t="s">
        <v>49</v>
      </c>
      <c r="J116" s="36" t="s">
        <v>74</v>
      </c>
      <c r="K116" s="37">
        <f t="shared" si="50"/>
        <v>240</v>
      </c>
      <c r="L116" s="38">
        <f t="shared" si="53"/>
        <v>26.899999999999977</v>
      </c>
      <c r="M116" s="38"/>
      <c r="N116" s="38"/>
      <c r="O116" s="38"/>
      <c r="P116" s="39">
        <f t="shared" si="36"/>
        <v>266.89999999999998</v>
      </c>
      <c r="Q116" s="311"/>
      <c r="R116" s="40">
        <v>60000</v>
      </c>
      <c r="S116" s="41">
        <f t="shared" si="58"/>
        <v>16013999.999999998</v>
      </c>
      <c r="T116" s="41"/>
      <c r="U116" s="42" t="s">
        <v>178</v>
      </c>
      <c r="V116" s="66">
        <f t="shared" si="51"/>
        <v>266.89999999999998</v>
      </c>
      <c r="W116" s="38" t="s">
        <v>48</v>
      </c>
      <c r="X116" s="41">
        <v>58300</v>
      </c>
      <c r="Y116" s="43">
        <v>1</v>
      </c>
      <c r="Z116" s="41">
        <f t="shared" si="33"/>
        <v>15560269.999999998</v>
      </c>
      <c r="AA116" s="41">
        <f t="shared" si="41"/>
        <v>2669000</v>
      </c>
      <c r="AB116" s="41">
        <f t="shared" si="56"/>
        <v>48041999.999999993</v>
      </c>
      <c r="AC116" s="38"/>
      <c r="AD116" s="44">
        <f t="shared" si="34"/>
        <v>0</v>
      </c>
      <c r="AE116" s="41">
        <f t="shared" si="57"/>
        <v>82285270</v>
      </c>
      <c r="AF116" s="314"/>
      <c r="AG116" s="45"/>
      <c r="AH116" s="46"/>
      <c r="AI116" s="46"/>
      <c r="AJ116" s="46"/>
    </row>
    <row r="117" spans="1:36" s="47" customFormat="1" ht="56.25" customHeight="1">
      <c r="A117" s="308"/>
      <c r="B117" s="33" t="s">
        <v>176</v>
      </c>
      <c r="C117" s="50">
        <v>81</v>
      </c>
      <c r="D117" s="50">
        <v>4</v>
      </c>
      <c r="E117" s="51">
        <v>360</v>
      </c>
      <c r="F117" s="34" t="s">
        <v>181</v>
      </c>
      <c r="G117" s="34" t="s">
        <v>99</v>
      </c>
      <c r="H117" s="35">
        <v>373</v>
      </c>
      <c r="I117" s="34" t="s">
        <v>45</v>
      </c>
      <c r="J117" s="36" t="s">
        <v>60</v>
      </c>
      <c r="K117" s="37">
        <f t="shared" si="50"/>
        <v>360</v>
      </c>
      <c r="L117" s="38">
        <f t="shared" si="53"/>
        <v>13</v>
      </c>
      <c r="M117" s="38"/>
      <c r="N117" s="38"/>
      <c r="O117" s="38"/>
      <c r="P117" s="39">
        <f t="shared" si="36"/>
        <v>373</v>
      </c>
      <c r="Q117" s="311"/>
      <c r="R117" s="40">
        <v>60000</v>
      </c>
      <c r="S117" s="41">
        <f t="shared" si="58"/>
        <v>22380000</v>
      </c>
      <c r="T117" s="41"/>
      <c r="U117" s="42" t="s">
        <v>182</v>
      </c>
      <c r="V117" s="66">
        <f t="shared" si="51"/>
        <v>373</v>
      </c>
      <c r="W117" s="38" t="s">
        <v>48</v>
      </c>
      <c r="X117" s="41">
        <v>9500</v>
      </c>
      <c r="Y117" s="43">
        <v>1</v>
      </c>
      <c r="Z117" s="41">
        <f t="shared" si="33"/>
        <v>3543500</v>
      </c>
      <c r="AA117" s="41">
        <f t="shared" si="41"/>
        <v>3730000</v>
      </c>
      <c r="AB117" s="41">
        <f t="shared" si="56"/>
        <v>67140000</v>
      </c>
      <c r="AC117" s="38"/>
      <c r="AD117" s="44">
        <f t="shared" si="34"/>
        <v>0</v>
      </c>
      <c r="AE117" s="41">
        <f t="shared" si="57"/>
        <v>96793500</v>
      </c>
      <c r="AF117" s="314"/>
      <c r="AG117" s="45"/>
      <c r="AH117" s="46"/>
      <c r="AI117" s="46"/>
      <c r="AJ117" s="46"/>
    </row>
    <row r="118" spans="1:36" s="47" customFormat="1" ht="46.5" customHeight="1">
      <c r="A118" s="309"/>
      <c r="B118" s="33" t="s">
        <v>176</v>
      </c>
      <c r="C118" s="50">
        <v>179</v>
      </c>
      <c r="D118" s="50">
        <v>5</v>
      </c>
      <c r="E118" s="51">
        <v>240</v>
      </c>
      <c r="F118" s="34" t="s">
        <v>183</v>
      </c>
      <c r="G118" s="34" t="s">
        <v>99</v>
      </c>
      <c r="H118" s="35">
        <v>240.5</v>
      </c>
      <c r="I118" s="34" t="s">
        <v>49</v>
      </c>
      <c r="J118" s="36" t="s">
        <v>57</v>
      </c>
      <c r="K118" s="37">
        <v>27.3</v>
      </c>
      <c r="L118" s="38"/>
      <c r="M118" s="38"/>
      <c r="N118" s="38"/>
      <c r="O118" s="38"/>
      <c r="P118" s="39">
        <f t="shared" si="36"/>
        <v>27.3</v>
      </c>
      <c r="Q118" s="312"/>
      <c r="R118" s="40">
        <v>60000</v>
      </c>
      <c r="S118" s="41">
        <f t="shared" si="58"/>
        <v>1638000</v>
      </c>
      <c r="T118" s="41"/>
      <c r="U118" s="42" t="s">
        <v>182</v>
      </c>
      <c r="V118" s="66">
        <f t="shared" si="51"/>
        <v>27.3</v>
      </c>
      <c r="W118" s="38" t="s">
        <v>48</v>
      </c>
      <c r="X118" s="41">
        <v>9500</v>
      </c>
      <c r="Y118" s="43">
        <v>1</v>
      </c>
      <c r="Z118" s="41">
        <f t="shared" si="33"/>
        <v>259350</v>
      </c>
      <c r="AA118" s="41">
        <f t="shared" si="41"/>
        <v>273000</v>
      </c>
      <c r="AB118" s="41">
        <f t="shared" si="56"/>
        <v>4914000</v>
      </c>
      <c r="AC118" s="38"/>
      <c r="AD118" s="44">
        <f t="shared" si="34"/>
        <v>0</v>
      </c>
      <c r="AE118" s="41">
        <f t="shared" si="57"/>
        <v>7084350</v>
      </c>
      <c r="AF118" s="315"/>
      <c r="AG118" s="45"/>
      <c r="AH118" s="46"/>
      <c r="AI118" s="46"/>
      <c r="AJ118" s="46"/>
    </row>
    <row r="119" spans="1:36" s="68" customFormat="1" ht="57" customHeight="1">
      <c r="A119" s="307">
        <v>35</v>
      </c>
      <c r="B119" s="33" t="s">
        <v>184</v>
      </c>
      <c r="C119" s="50">
        <v>83</v>
      </c>
      <c r="D119" s="50">
        <v>4</v>
      </c>
      <c r="E119" s="51">
        <v>504</v>
      </c>
      <c r="F119" s="34" t="s">
        <v>185</v>
      </c>
      <c r="G119" s="34" t="s">
        <v>99</v>
      </c>
      <c r="H119" s="35">
        <v>567.79999999999995</v>
      </c>
      <c r="I119" s="34" t="s">
        <v>45</v>
      </c>
      <c r="J119" s="36" t="s">
        <v>60</v>
      </c>
      <c r="K119" s="37">
        <v>504</v>
      </c>
      <c r="L119" s="38">
        <f>506.1-504</f>
        <v>2.1000000000000227</v>
      </c>
      <c r="M119" s="38"/>
      <c r="N119" s="38"/>
      <c r="O119" s="38"/>
      <c r="P119" s="39">
        <f t="shared" si="36"/>
        <v>506.1</v>
      </c>
      <c r="Q119" s="310">
        <f>SUM(P119:P120)</f>
        <v>519.9</v>
      </c>
      <c r="R119" s="40">
        <v>60000</v>
      </c>
      <c r="S119" s="41">
        <f t="shared" si="58"/>
        <v>30366000</v>
      </c>
      <c r="T119" s="41"/>
      <c r="U119" s="42" t="s">
        <v>47</v>
      </c>
      <c r="V119" s="66">
        <f t="shared" si="51"/>
        <v>506.1</v>
      </c>
      <c r="W119" s="38" t="s">
        <v>48</v>
      </c>
      <c r="X119" s="41">
        <v>9500</v>
      </c>
      <c r="Y119" s="43">
        <v>1</v>
      </c>
      <c r="Z119" s="41">
        <f t="shared" si="33"/>
        <v>4807950</v>
      </c>
      <c r="AA119" s="41">
        <f t="shared" si="41"/>
        <v>5061000</v>
      </c>
      <c r="AB119" s="41">
        <f t="shared" si="56"/>
        <v>91098000</v>
      </c>
      <c r="AC119" s="38">
        <v>1</v>
      </c>
      <c r="AD119" s="44">
        <f t="shared" si="34"/>
        <v>3500000</v>
      </c>
      <c r="AE119" s="41">
        <f t="shared" si="57"/>
        <v>134832950</v>
      </c>
      <c r="AF119" s="313">
        <f>AE119+AE120</f>
        <v>138414050</v>
      </c>
      <c r="AG119" s="45"/>
      <c r="AH119" s="67"/>
      <c r="AI119" s="67"/>
      <c r="AJ119" s="67"/>
    </row>
    <row r="120" spans="1:36" s="68" customFormat="1" ht="57" customHeight="1">
      <c r="A120" s="309"/>
      <c r="B120" s="33" t="s">
        <v>184</v>
      </c>
      <c r="C120" s="50"/>
      <c r="D120" s="50"/>
      <c r="E120" s="51"/>
      <c r="F120" s="34">
        <v>197</v>
      </c>
      <c r="G120" s="34" t="s">
        <v>99</v>
      </c>
      <c r="H120" s="35">
        <v>900.7</v>
      </c>
      <c r="I120" s="34" t="s">
        <v>45</v>
      </c>
      <c r="J120" s="36" t="s">
        <v>60</v>
      </c>
      <c r="K120" s="37"/>
      <c r="L120" s="38">
        <v>13.8</v>
      </c>
      <c r="M120" s="38"/>
      <c r="N120" s="38"/>
      <c r="O120" s="38"/>
      <c r="P120" s="39">
        <f t="shared" si="36"/>
        <v>13.8</v>
      </c>
      <c r="Q120" s="312"/>
      <c r="R120" s="40">
        <v>60000</v>
      </c>
      <c r="S120" s="41">
        <f t="shared" si="58"/>
        <v>828000</v>
      </c>
      <c r="T120" s="41"/>
      <c r="U120" s="42" t="s">
        <v>47</v>
      </c>
      <c r="V120" s="66">
        <f t="shared" si="51"/>
        <v>13.8</v>
      </c>
      <c r="W120" s="38" t="s">
        <v>48</v>
      </c>
      <c r="X120" s="41">
        <v>9500</v>
      </c>
      <c r="Y120" s="43">
        <v>1</v>
      </c>
      <c r="Z120" s="41">
        <f t="shared" si="33"/>
        <v>131100</v>
      </c>
      <c r="AA120" s="41">
        <f t="shared" si="41"/>
        <v>138000</v>
      </c>
      <c r="AB120" s="41">
        <f t="shared" si="56"/>
        <v>2484000</v>
      </c>
      <c r="AC120" s="38"/>
      <c r="AD120" s="44">
        <f t="shared" si="34"/>
        <v>0</v>
      </c>
      <c r="AE120" s="41">
        <f t="shared" si="57"/>
        <v>3581100</v>
      </c>
      <c r="AF120" s="315"/>
      <c r="AG120" s="45"/>
      <c r="AH120" s="67"/>
      <c r="AI120" s="67"/>
      <c r="AJ120" s="67"/>
    </row>
    <row r="121" spans="1:36" s="68" customFormat="1" ht="69.75" customHeight="1">
      <c r="A121" s="307">
        <v>36</v>
      </c>
      <c r="B121" s="33" t="s">
        <v>186</v>
      </c>
      <c r="C121" s="72">
        <v>98</v>
      </c>
      <c r="D121" s="72">
        <v>4</v>
      </c>
      <c r="E121" s="73">
        <v>360</v>
      </c>
      <c r="F121" s="34" t="s">
        <v>187</v>
      </c>
      <c r="G121" s="34" t="s">
        <v>99</v>
      </c>
      <c r="H121" s="35">
        <v>373.1</v>
      </c>
      <c r="I121" s="34" t="s">
        <v>45</v>
      </c>
      <c r="J121" s="36" t="s">
        <v>60</v>
      </c>
      <c r="K121" s="37">
        <v>326.7</v>
      </c>
      <c r="L121" s="38"/>
      <c r="M121" s="38"/>
      <c r="N121" s="38"/>
      <c r="O121" s="38"/>
      <c r="P121" s="39">
        <f t="shared" si="36"/>
        <v>326.7</v>
      </c>
      <c r="Q121" s="310">
        <f>SUM(P121:P127)</f>
        <v>866</v>
      </c>
      <c r="R121" s="40">
        <v>60000</v>
      </c>
      <c r="S121" s="41">
        <f t="shared" si="58"/>
        <v>19602000</v>
      </c>
      <c r="T121" s="41"/>
      <c r="U121" s="42" t="s">
        <v>188</v>
      </c>
      <c r="V121" s="66">
        <v>72</v>
      </c>
      <c r="W121" s="38" t="s">
        <v>52</v>
      </c>
      <c r="X121" s="41">
        <v>163000</v>
      </c>
      <c r="Y121" s="43">
        <v>0.8</v>
      </c>
      <c r="Z121" s="41">
        <f t="shared" si="33"/>
        <v>9388800</v>
      </c>
      <c r="AA121" s="41">
        <f t="shared" si="41"/>
        <v>3267000</v>
      </c>
      <c r="AB121" s="41">
        <f t="shared" si="56"/>
        <v>58806000</v>
      </c>
      <c r="AC121" s="38">
        <v>2</v>
      </c>
      <c r="AD121" s="44">
        <f t="shared" si="34"/>
        <v>7000000</v>
      </c>
      <c r="AE121" s="41">
        <f>S121+T121+Z121+AA121+AB121+AD121</f>
        <v>98063800</v>
      </c>
      <c r="AF121" s="313">
        <f>SUM(AE121:AE127)</f>
        <v>244117400</v>
      </c>
      <c r="AG121" s="45"/>
      <c r="AH121" s="67"/>
      <c r="AI121" s="67"/>
      <c r="AJ121" s="67"/>
    </row>
    <row r="122" spans="1:36" s="68" customFormat="1" ht="69.75" customHeight="1">
      <c r="A122" s="308"/>
      <c r="B122" s="33" t="s">
        <v>186</v>
      </c>
      <c r="C122" s="77"/>
      <c r="D122" s="77"/>
      <c r="E122" s="78"/>
      <c r="F122" s="34">
        <v>72</v>
      </c>
      <c r="G122" s="34">
        <v>28</v>
      </c>
      <c r="H122" s="35">
        <v>502.3</v>
      </c>
      <c r="I122" s="34" t="s">
        <v>45</v>
      </c>
      <c r="J122" s="36" t="s">
        <v>60</v>
      </c>
      <c r="K122" s="37">
        <f>360-326.7</f>
        <v>33.300000000000011</v>
      </c>
      <c r="L122" s="38">
        <f>74.4-33.3</f>
        <v>41.100000000000009</v>
      </c>
      <c r="M122" s="38"/>
      <c r="N122" s="38"/>
      <c r="O122" s="38"/>
      <c r="P122" s="39">
        <f t="shared" si="36"/>
        <v>74.40000000000002</v>
      </c>
      <c r="Q122" s="311"/>
      <c r="R122" s="40">
        <v>60000</v>
      </c>
      <c r="S122" s="41">
        <f t="shared" si="58"/>
        <v>4464000.0000000009</v>
      </c>
      <c r="T122" s="41"/>
      <c r="U122" s="42" t="s">
        <v>188</v>
      </c>
      <c r="V122" s="66">
        <v>17</v>
      </c>
      <c r="W122" s="38" t="s">
        <v>52</v>
      </c>
      <c r="X122" s="41">
        <v>163000</v>
      </c>
      <c r="Y122" s="43">
        <v>0.8</v>
      </c>
      <c r="Z122" s="41">
        <f t="shared" si="33"/>
        <v>2216800</v>
      </c>
      <c r="AA122" s="41">
        <f t="shared" si="41"/>
        <v>744000.00000000023</v>
      </c>
      <c r="AB122" s="41">
        <f t="shared" si="56"/>
        <v>13392000.000000004</v>
      </c>
      <c r="AC122" s="38"/>
      <c r="AD122" s="44">
        <f t="shared" si="34"/>
        <v>0</v>
      </c>
      <c r="AE122" s="41">
        <f t="shared" ref="AE122:AE145" si="59">S122+Z122+AA122+AB122+AD122+T122</f>
        <v>20816800.000000004</v>
      </c>
      <c r="AF122" s="314"/>
      <c r="AG122" s="45"/>
      <c r="AH122" s="67"/>
      <c r="AI122" s="67"/>
      <c r="AJ122" s="67"/>
    </row>
    <row r="123" spans="1:36" s="68" customFormat="1" ht="69.75" customHeight="1">
      <c r="A123" s="308"/>
      <c r="B123" s="33" t="s">
        <v>186</v>
      </c>
      <c r="C123" s="50">
        <v>131</v>
      </c>
      <c r="D123" s="50">
        <v>5</v>
      </c>
      <c r="E123" s="51">
        <v>96</v>
      </c>
      <c r="F123" s="34" t="s">
        <v>189</v>
      </c>
      <c r="G123" s="34" t="s">
        <v>99</v>
      </c>
      <c r="H123" s="35">
        <v>173.5</v>
      </c>
      <c r="I123" s="34" t="s">
        <v>49</v>
      </c>
      <c r="J123" s="36" t="s">
        <v>57</v>
      </c>
      <c r="K123" s="37">
        <f t="shared" ref="K123" si="60">E123</f>
        <v>96</v>
      </c>
      <c r="L123" s="38">
        <f t="shared" ref="L123" si="61">H123-K123</f>
        <v>77.5</v>
      </c>
      <c r="M123" s="38"/>
      <c r="O123" s="38"/>
      <c r="P123" s="39">
        <f t="shared" si="36"/>
        <v>173.5</v>
      </c>
      <c r="Q123" s="311"/>
      <c r="R123" s="40">
        <v>60000</v>
      </c>
      <c r="S123" s="41">
        <f t="shared" si="58"/>
        <v>10410000</v>
      </c>
      <c r="T123" s="41"/>
      <c r="U123" s="42" t="s">
        <v>190</v>
      </c>
      <c r="V123" s="66">
        <f t="shared" ref="V123" si="62">P123</f>
        <v>173.5</v>
      </c>
      <c r="W123" s="38" t="s">
        <v>48</v>
      </c>
      <c r="X123" s="41">
        <v>9500</v>
      </c>
      <c r="Y123" s="43">
        <v>1</v>
      </c>
      <c r="Z123" s="41">
        <f t="shared" si="33"/>
        <v>1648250</v>
      </c>
      <c r="AA123" s="41">
        <f t="shared" si="41"/>
        <v>1735000</v>
      </c>
      <c r="AB123" s="41">
        <f t="shared" si="56"/>
        <v>31230000</v>
      </c>
      <c r="AC123" s="38"/>
      <c r="AD123" s="44">
        <f t="shared" si="34"/>
        <v>0</v>
      </c>
      <c r="AE123" s="41">
        <f t="shared" si="59"/>
        <v>45023250</v>
      </c>
      <c r="AF123" s="314"/>
      <c r="AG123" s="45"/>
      <c r="AH123" s="67"/>
      <c r="AI123" s="67"/>
      <c r="AJ123" s="67"/>
    </row>
    <row r="124" spans="1:36" s="68" customFormat="1" ht="69.75" customHeight="1">
      <c r="A124" s="308"/>
      <c r="B124" s="33" t="s">
        <v>186</v>
      </c>
      <c r="C124" s="50"/>
      <c r="D124" s="50"/>
      <c r="E124" s="51"/>
      <c r="F124" s="34" t="s">
        <v>189</v>
      </c>
      <c r="G124" s="34" t="s">
        <v>99</v>
      </c>
      <c r="H124" s="35">
        <v>173.5</v>
      </c>
      <c r="I124" s="34" t="s">
        <v>49</v>
      </c>
      <c r="J124" s="36" t="s">
        <v>57</v>
      </c>
      <c r="K124" s="37"/>
      <c r="L124" s="38"/>
      <c r="M124" s="38"/>
      <c r="O124" s="38"/>
      <c r="P124" s="39">
        <f t="shared" si="36"/>
        <v>0</v>
      </c>
      <c r="Q124" s="311"/>
      <c r="R124" s="40">
        <v>60000</v>
      </c>
      <c r="S124" s="41">
        <f t="shared" si="58"/>
        <v>0</v>
      </c>
      <c r="T124" s="41"/>
      <c r="U124" s="42" t="s">
        <v>173</v>
      </c>
      <c r="V124" s="66">
        <f t="shared" si="51"/>
        <v>0</v>
      </c>
      <c r="W124" s="38"/>
      <c r="X124" s="41"/>
      <c r="Y124" s="43"/>
      <c r="Z124" s="41">
        <f t="shared" si="33"/>
        <v>0</v>
      </c>
      <c r="AA124" s="41">
        <f t="shared" si="41"/>
        <v>0</v>
      </c>
      <c r="AB124" s="41">
        <f t="shared" si="56"/>
        <v>0</v>
      </c>
      <c r="AC124" s="38"/>
      <c r="AD124" s="44">
        <f t="shared" si="34"/>
        <v>0</v>
      </c>
      <c r="AE124" s="41">
        <f t="shared" si="59"/>
        <v>0</v>
      </c>
      <c r="AF124" s="314"/>
      <c r="AG124" s="45" t="s">
        <v>191</v>
      </c>
      <c r="AH124" s="67"/>
      <c r="AI124" s="67"/>
      <c r="AJ124" s="67"/>
    </row>
    <row r="125" spans="1:36" s="68" customFormat="1" ht="69.75" customHeight="1">
      <c r="A125" s="308"/>
      <c r="B125" s="33" t="s">
        <v>186</v>
      </c>
      <c r="C125" s="50"/>
      <c r="D125" s="50"/>
      <c r="E125" s="51"/>
      <c r="F125" s="34" t="s">
        <v>192</v>
      </c>
      <c r="G125" s="34" t="s">
        <v>96</v>
      </c>
      <c r="H125" s="35">
        <v>80.7</v>
      </c>
      <c r="I125" s="34" t="s">
        <v>49</v>
      </c>
      <c r="J125" s="36" t="s">
        <v>193</v>
      </c>
      <c r="K125" s="37"/>
      <c r="L125" s="38"/>
      <c r="M125" s="38">
        <v>64.7</v>
      </c>
      <c r="N125" s="38"/>
      <c r="O125" s="38">
        <f>80.7-64.7</f>
        <v>16</v>
      </c>
      <c r="P125" s="39">
        <f t="shared" si="36"/>
        <v>80.7</v>
      </c>
      <c r="Q125" s="311"/>
      <c r="R125" s="40">
        <v>55000</v>
      </c>
      <c r="S125" s="41">
        <f>P125*R125</f>
        <v>4438500</v>
      </c>
      <c r="T125" s="41"/>
      <c r="U125" s="42" t="s">
        <v>188</v>
      </c>
      <c r="V125" s="66">
        <v>22</v>
      </c>
      <c r="W125" s="38" t="s">
        <v>52</v>
      </c>
      <c r="X125" s="41">
        <v>163000</v>
      </c>
      <c r="Y125" s="43">
        <v>1</v>
      </c>
      <c r="Z125" s="41">
        <f t="shared" si="33"/>
        <v>3586000</v>
      </c>
      <c r="AA125" s="41">
        <f>P125*7000</f>
        <v>564900</v>
      </c>
      <c r="AB125" s="41">
        <f>P125*R125*3</f>
        <v>13315500</v>
      </c>
      <c r="AC125" s="38"/>
      <c r="AD125" s="44">
        <f t="shared" si="34"/>
        <v>0</v>
      </c>
      <c r="AE125" s="41">
        <f t="shared" si="59"/>
        <v>21904900</v>
      </c>
      <c r="AF125" s="314"/>
      <c r="AG125" s="45"/>
      <c r="AH125" s="67"/>
      <c r="AI125" s="67"/>
      <c r="AJ125" s="67"/>
    </row>
    <row r="126" spans="1:36" s="68" customFormat="1" ht="69.75" customHeight="1">
      <c r="A126" s="308"/>
      <c r="B126" s="33" t="s">
        <v>186</v>
      </c>
      <c r="C126" s="50"/>
      <c r="D126" s="50"/>
      <c r="E126" s="51"/>
      <c r="F126" s="34" t="s">
        <v>194</v>
      </c>
      <c r="G126" s="34" t="s">
        <v>96</v>
      </c>
      <c r="H126" s="35">
        <v>210.7</v>
      </c>
      <c r="I126" s="34" t="s">
        <v>45</v>
      </c>
      <c r="J126" s="36" t="s">
        <v>195</v>
      </c>
      <c r="K126" s="37"/>
      <c r="L126" s="38">
        <f t="shared" ref="L126" si="63">H126-K126</f>
        <v>210.7</v>
      </c>
      <c r="M126" s="38"/>
      <c r="N126" s="38"/>
      <c r="O126" s="38"/>
      <c r="P126" s="39">
        <f t="shared" si="36"/>
        <v>210.7</v>
      </c>
      <c r="Q126" s="311"/>
      <c r="R126" s="40">
        <v>60000</v>
      </c>
      <c r="S126" s="41">
        <f t="shared" ref="S126:S130" si="64">P126*R126</f>
        <v>12642000</v>
      </c>
      <c r="T126" s="41"/>
      <c r="U126" s="42" t="s">
        <v>188</v>
      </c>
      <c r="V126" s="66">
        <v>43</v>
      </c>
      <c r="W126" s="38" t="s">
        <v>52</v>
      </c>
      <c r="X126" s="41">
        <v>163000</v>
      </c>
      <c r="Y126" s="43">
        <v>0.8</v>
      </c>
      <c r="Z126" s="41">
        <f t="shared" si="33"/>
        <v>5607200</v>
      </c>
      <c r="AA126" s="41">
        <f t="shared" ref="AA126:AA130" si="65">P126*10000</f>
        <v>2107000</v>
      </c>
      <c r="AB126" s="41">
        <f t="shared" si="56"/>
        <v>37926000</v>
      </c>
      <c r="AC126" s="38"/>
      <c r="AD126" s="44">
        <f t="shared" si="34"/>
        <v>0</v>
      </c>
      <c r="AE126" s="41">
        <f t="shared" si="59"/>
        <v>58282200</v>
      </c>
      <c r="AF126" s="314"/>
      <c r="AG126" s="45"/>
      <c r="AH126" s="67"/>
      <c r="AI126" s="67"/>
      <c r="AJ126" s="67"/>
    </row>
    <row r="127" spans="1:36" s="68" customFormat="1" ht="69.75" customHeight="1">
      <c r="A127" s="309"/>
      <c r="B127" s="33" t="s">
        <v>186</v>
      </c>
      <c r="C127" s="50"/>
      <c r="D127" s="50"/>
      <c r="E127" s="51"/>
      <c r="F127" s="34" t="s">
        <v>194</v>
      </c>
      <c r="G127" s="34" t="s">
        <v>96</v>
      </c>
      <c r="H127" s="35">
        <v>210.7</v>
      </c>
      <c r="I127" s="34" t="s">
        <v>45</v>
      </c>
      <c r="J127" s="36" t="s">
        <v>195</v>
      </c>
      <c r="K127" s="37"/>
      <c r="L127" s="38"/>
      <c r="M127" s="38"/>
      <c r="N127" s="38"/>
      <c r="O127" s="38"/>
      <c r="P127" s="39">
        <f t="shared" si="36"/>
        <v>0</v>
      </c>
      <c r="Q127" s="312"/>
      <c r="R127" s="40">
        <v>60000</v>
      </c>
      <c r="S127" s="41">
        <f t="shared" si="64"/>
        <v>0</v>
      </c>
      <c r="T127" s="41"/>
      <c r="U127" s="42" t="s">
        <v>64</v>
      </c>
      <c r="V127" s="66">
        <v>2.78</v>
      </c>
      <c r="W127" s="38" t="s">
        <v>48</v>
      </c>
      <c r="X127" s="41">
        <v>9500</v>
      </c>
      <c r="Y127" s="43">
        <v>1</v>
      </c>
      <c r="Z127" s="41">
        <v>26450</v>
      </c>
      <c r="AA127" s="41">
        <f t="shared" si="65"/>
        <v>0</v>
      </c>
      <c r="AB127" s="41">
        <f t="shared" si="56"/>
        <v>0</v>
      </c>
      <c r="AC127" s="38"/>
      <c r="AD127" s="44">
        <f t="shared" si="34"/>
        <v>0</v>
      </c>
      <c r="AE127" s="41">
        <f t="shared" si="59"/>
        <v>26450</v>
      </c>
      <c r="AF127" s="315"/>
      <c r="AG127" s="45"/>
      <c r="AH127" s="67"/>
      <c r="AI127" s="67"/>
      <c r="AJ127" s="67"/>
    </row>
    <row r="128" spans="1:36" s="68" customFormat="1" ht="59.25" customHeight="1">
      <c r="A128" s="307">
        <v>37</v>
      </c>
      <c r="B128" s="33" t="s">
        <v>196</v>
      </c>
      <c r="C128" s="50">
        <v>119</v>
      </c>
      <c r="D128" s="50">
        <v>4</v>
      </c>
      <c r="E128" s="51">
        <v>156</v>
      </c>
      <c r="F128" s="34" t="s">
        <v>197</v>
      </c>
      <c r="G128" s="34" t="s">
        <v>99</v>
      </c>
      <c r="H128" s="35">
        <v>146.80000000000001</v>
      </c>
      <c r="I128" s="34" t="s">
        <v>49</v>
      </c>
      <c r="J128" s="36" t="s">
        <v>198</v>
      </c>
      <c r="K128" s="37">
        <v>146.80000000000001</v>
      </c>
      <c r="L128" s="38">
        <f t="shared" ref="L128:L130" si="66">H128-K128</f>
        <v>0</v>
      </c>
      <c r="M128" s="38"/>
      <c r="N128" s="38"/>
      <c r="O128" s="38"/>
      <c r="P128" s="39">
        <f t="shared" si="36"/>
        <v>146.80000000000001</v>
      </c>
      <c r="Q128" s="310">
        <f>SUM(P128:P133)</f>
        <v>1278.3</v>
      </c>
      <c r="R128" s="40">
        <v>60000</v>
      </c>
      <c r="S128" s="41">
        <f t="shared" si="64"/>
        <v>8808000</v>
      </c>
      <c r="T128" s="41"/>
      <c r="U128" s="42" t="s">
        <v>199</v>
      </c>
      <c r="V128" s="66">
        <f t="shared" si="51"/>
        <v>146.80000000000001</v>
      </c>
      <c r="W128" s="38" t="s">
        <v>48</v>
      </c>
      <c r="X128" s="41">
        <v>43000</v>
      </c>
      <c r="Y128" s="43">
        <v>1</v>
      </c>
      <c r="Z128" s="41">
        <f t="shared" si="33"/>
        <v>6312400.0000000009</v>
      </c>
      <c r="AA128" s="41">
        <f t="shared" si="65"/>
        <v>1468000</v>
      </c>
      <c r="AB128" s="41">
        <f t="shared" si="56"/>
        <v>26424000</v>
      </c>
      <c r="AC128" s="38">
        <v>3</v>
      </c>
      <c r="AD128" s="44">
        <f t="shared" si="34"/>
        <v>10500000</v>
      </c>
      <c r="AE128" s="41">
        <f t="shared" si="59"/>
        <v>53512400</v>
      </c>
      <c r="AF128" s="313">
        <f>SUM(AE128:AE133)</f>
        <v>339216650</v>
      </c>
      <c r="AG128" s="45"/>
      <c r="AH128" s="67"/>
      <c r="AI128" s="67"/>
      <c r="AJ128" s="67"/>
    </row>
    <row r="129" spans="1:36" s="68" customFormat="1" ht="59.25" customHeight="1">
      <c r="A129" s="308"/>
      <c r="B129" s="33" t="s">
        <v>196</v>
      </c>
      <c r="C129" s="50"/>
      <c r="D129" s="50"/>
      <c r="E129" s="51"/>
      <c r="F129" s="34" t="s">
        <v>200</v>
      </c>
      <c r="G129" s="34" t="s">
        <v>99</v>
      </c>
      <c r="H129" s="35">
        <v>87.8</v>
      </c>
      <c r="I129" s="34" t="s">
        <v>49</v>
      </c>
      <c r="J129" s="36" t="s">
        <v>57</v>
      </c>
      <c r="K129" s="37"/>
      <c r="L129" s="38">
        <f t="shared" si="66"/>
        <v>87.8</v>
      </c>
      <c r="M129" s="38"/>
      <c r="N129" s="38"/>
      <c r="O129" s="38"/>
      <c r="P129" s="39">
        <f t="shared" si="36"/>
        <v>87.8</v>
      </c>
      <c r="Q129" s="311"/>
      <c r="R129" s="40">
        <v>60000</v>
      </c>
      <c r="S129" s="41">
        <f t="shared" si="64"/>
        <v>5268000</v>
      </c>
      <c r="T129" s="41"/>
      <c r="U129" s="42" t="s">
        <v>123</v>
      </c>
      <c r="V129" s="66">
        <f t="shared" si="51"/>
        <v>87.8</v>
      </c>
      <c r="W129" s="38" t="s">
        <v>48</v>
      </c>
      <c r="X129" s="41">
        <v>9500</v>
      </c>
      <c r="Y129" s="43">
        <v>1</v>
      </c>
      <c r="Z129" s="41">
        <f t="shared" si="33"/>
        <v>834100</v>
      </c>
      <c r="AA129" s="41">
        <f t="shared" si="65"/>
        <v>878000</v>
      </c>
      <c r="AB129" s="41">
        <f t="shared" si="56"/>
        <v>15804000</v>
      </c>
      <c r="AC129" s="38"/>
      <c r="AD129" s="44">
        <f t="shared" si="34"/>
        <v>0</v>
      </c>
      <c r="AE129" s="41">
        <f t="shared" si="59"/>
        <v>22784100</v>
      </c>
      <c r="AF129" s="314"/>
      <c r="AG129" s="45"/>
      <c r="AH129" s="67"/>
      <c r="AI129" s="67"/>
      <c r="AJ129" s="67"/>
    </row>
    <row r="130" spans="1:36" s="68" customFormat="1" ht="59.25" customHeight="1">
      <c r="A130" s="308"/>
      <c r="B130" s="33" t="s">
        <v>196</v>
      </c>
      <c r="C130" s="50">
        <v>22</v>
      </c>
      <c r="D130" s="50">
        <v>4</v>
      </c>
      <c r="E130" s="51">
        <v>570</v>
      </c>
      <c r="F130" s="34" t="s">
        <v>201</v>
      </c>
      <c r="G130" s="34" t="s">
        <v>99</v>
      </c>
      <c r="H130" s="35">
        <v>696.9</v>
      </c>
      <c r="I130" s="34" t="s">
        <v>45</v>
      </c>
      <c r="J130" s="36" t="s">
        <v>60</v>
      </c>
      <c r="K130" s="37">
        <f t="shared" si="50"/>
        <v>570</v>
      </c>
      <c r="L130" s="38">
        <f t="shared" si="66"/>
        <v>126.89999999999998</v>
      </c>
      <c r="M130" s="38"/>
      <c r="N130" s="38"/>
      <c r="O130" s="38"/>
      <c r="P130" s="39">
        <f t="shared" si="36"/>
        <v>696.9</v>
      </c>
      <c r="Q130" s="311"/>
      <c r="R130" s="40">
        <v>60000</v>
      </c>
      <c r="S130" s="41">
        <f t="shared" si="64"/>
        <v>41814000</v>
      </c>
      <c r="T130" s="41"/>
      <c r="U130" s="42" t="s">
        <v>47</v>
      </c>
      <c r="V130" s="66">
        <f t="shared" si="51"/>
        <v>696.9</v>
      </c>
      <c r="W130" s="38" t="s">
        <v>48</v>
      </c>
      <c r="X130" s="41">
        <v>9500</v>
      </c>
      <c r="Y130" s="43">
        <v>1</v>
      </c>
      <c r="Z130" s="41">
        <f t="shared" si="33"/>
        <v>6620550</v>
      </c>
      <c r="AA130" s="41">
        <f t="shared" si="65"/>
        <v>6969000</v>
      </c>
      <c r="AB130" s="41">
        <f t="shared" si="56"/>
        <v>125442000</v>
      </c>
      <c r="AC130" s="38"/>
      <c r="AD130" s="44">
        <f t="shared" si="34"/>
        <v>0</v>
      </c>
      <c r="AE130" s="41">
        <f t="shared" si="59"/>
        <v>180845550</v>
      </c>
      <c r="AF130" s="314"/>
      <c r="AG130" s="45"/>
      <c r="AH130" s="67"/>
      <c r="AI130" s="67"/>
      <c r="AJ130" s="67"/>
    </row>
    <row r="131" spans="1:36" s="68" customFormat="1" ht="59.25" customHeight="1">
      <c r="A131" s="308"/>
      <c r="B131" s="33" t="s">
        <v>196</v>
      </c>
      <c r="C131" s="50">
        <v>94</v>
      </c>
      <c r="D131" s="50">
        <v>5</v>
      </c>
      <c r="E131" s="51">
        <v>252</v>
      </c>
      <c r="F131" s="34" t="s">
        <v>202</v>
      </c>
      <c r="G131" s="34" t="s">
        <v>99</v>
      </c>
      <c r="H131" s="35">
        <v>294.3</v>
      </c>
      <c r="I131" s="34" t="s">
        <v>49</v>
      </c>
      <c r="J131" s="36" t="s">
        <v>111</v>
      </c>
      <c r="K131" s="37"/>
      <c r="L131" s="38"/>
      <c r="M131" s="38"/>
      <c r="N131" s="38">
        <v>36</v>
      </c>
      <c r="O131" s="38"/>
      <c r="P131" s="39">
        <f t="shared" si="36"/>
        <v>36</v>
      </c>
      <c r="Q131" s="311"/>
      <c r="R131" s="40"/>
      <c r="S131" s="41">
        <f>60000*(K131+L131)</f>
        <v>0</v>
      </c>
      <c r="T131" s="41">
        <f>N131*30000</f>
        <v>1080000</v>
      </c>
      <c r="U131" s="42" t="s">
        <v>123</v>
      </c>
      <c r="V131" s="66">
        <f t="shared" si="51"/>
        <v>36</v>
      </c>
      <c r="W131" s="38" t="s">
        <v>48</v>
      </c>
      <c r="X131" s="41">
        <v>9500</v>
      </c>
      <c r="Y131" s="43">
        <v>1</v>
      </c>
      <c r="Z131" s="41">
        <f>V131*X131*Y131</f>
        <v>342000</v>
      </c>
      <c r="AA131" s="41"/>
      <c r="AB131" s="41">
        <f>P131*R131*3</f>
        <v>0</v>
      </c>
      <c r="AC131" s="38"/>
      <c r="AD131" s="44">
        <f t="shared" si="34"/>
        <v>0</v>
      </c>
      <c r="AE131" s="41">
        <f t="shared" si="59"/>
        <v>1422000</v>
      </c>
      <c r="AF131" s="314"/>
      <c r="AG131" s="45"/>
      <c r="AH131" s="67"/>
      <c r="AI131" s="67"/>
      <c r="AJ131" s="67"/>
    </row>
    <row r="132" spans="1:36" s="68" customFormat="1" ht="59.25" customHeight="1">
      <c r="A132" s="308"/>
      <c r="B132" s="33" t="s">
        <v>196</v>
      </c>
      <c r="C132" s="50">
        <v>94</v>
      </c>
      <c r="D132" s="50">
        <v>5</v>
      </c>
      <c r="E132" s="51">
        <v>252</v>
      </c>
      <c r="F132" s="34" t="s">
        <v>202</v>
      </c>
      <c r="G132" s="34" t="s">
        <v>99</v>
      </c>
      <c r="H132" s="35">
        <v>294.3</v>
      </c>
      <c r="I132" s="34" t="s">
        <v>49</v>
      </c>
      <c r="J132" s="36" t="s">
        <v>111</v>
      </c>
      <c r="K132" s="37">
        <f t="shared" ref="K132:K139" si="67">E132</f>
        <v>252</v>
      </c>
      <c r="L132" s="38">
        <f>294.3-252-36</f>
        <v>6.3000000000000114</v>
      </c>
      <c r="M132" s="38"/>
      <c r="N132" s="38"/>
      <c r="O132" s="38"/>
      <c r="P132" s="39">
        <f t="shared" si="36"/>
        <v>258.3</v>
      </c>
      <c r="Q132" s="311"/>
      <c r="R132" s="40">
        <v>60000</v>
      </c>
      <c r="S132" s="41">
        <f t="shared" ref="S132:S142" si="68">P132*R132</f>
        <v>15498000</v>
      </c>
      <c r="T132" s="41">
        <f>N132*30000</f>
        <v>0</v>
      </c>
      <c r="U132" s="42" t="s">
        <v>123</v>
      </c>
      <c r="V132" s="66">
        <f t="shared" si="51"/>
        <v>258.3</v>
      </c>
      <c r="W132" s="38" t="s">
        <v>48</v>
      </c>
      <c r="X132" s="41">
        <v>9500</v>
      </c>
      <c r="Y132" s="43">
        <v>1</v>
      </c>
      <c r="Z132" s="41">
        <f t="shared" si="33"/>
        <v>2453850</v>
      </c>
      <c r="AA132" s="41">
        <f t="shared" ref="AA132:AA142" si="69">P132*10000</f>
        <v>2583000</v>
      </c>
      <c r="AB132" s="41">
        <f>P132*R132*3</f>
        <v>46494000</v>
      </c>
      <c r="AC132" s="38"/>
      <c r="AD132" s="44">
        <f t="shared" si="34"/>
        <v>0</v>
      </c>
      <c r="AE132" s="41">
        <f t="shared" si="59"/>
        <v>67028850</v>
      </c>
      <c r="AF132" s="314"/>
      <c r="AG132" s="45"/>
      <c r="AH132" s="67"/>
      <c r="AI132" s="67"/>
      <c r="AJ132" s="67"/>
    </row>
    <row r="133" spans="1:36" s="68" customFormat="1" ht="59.25" customHeight="1">
      <c r="A133" s="309"/>
      <c r="B133" s="33" t="s">
        <v>196</v>
      </c>
      <c r="C133" s="50">
        <v>121</v>
      </c>
      <c r="D133" s="50">
        <v>472</v>
      </c>
      <c r="E133" s="51">
        <v>72</v>
      </c>
      <c r="F133" s="34" t="s">
        <v>203</v>
      </c>
      <c r="G133" s="34" t="s">
        <v>99</v>
      </c>
      <c r="H133" s="35">
        <v>52.5</v>
      </c>
      <c r="I133" s="34" t="s">
        <v>55</v>
      </c>
      <c r="J133" s="36" t="s">
        <v>60</v>
      </c>
      <c r="K133" s="37">
        <v>52.5</v>
      </c>
      <c r="L133" s="38">
        <f>H133-K133</f>
        <v>0</v>
      </c>
      <c r="M133" s="38"/>
      <c r="N133" s="38"/>
      <c r="O133" s="38"/>
      <c r="P133" s="39">
        <f t="shared" si="36"/>
        <v>52.5</v>
      </c>
      <c r="Q133" s="312"/>
      <c r="R133" s="40">
        <v>60000</v>
      </c>
      <c r="S133" s="41">
        <f t="shared" si="68"/>
        <v>3150000</v>
      </c>
      <c r="T133" s="41"/>
      <c r="U133" s="42" t="s">
        <v>204</v>
      </c>
      <c r="V133" s="66">
        <f t="shared" si="51"/>
        <v>52.5</v>
      </c>
      <c r="W133" s="38" t="s">
        <v>48</v>
      </c>
      <c r="X133" s="41">
        <v>9500</v>
      </c>
      <c r="Y133" s="43">
        <v>1</v>
      </c>
      <c r="Z133" s="41">
        <f t="shared" si="33"/>
        <v>498750</v>
      </c>
      <c r="AA133" s="41">
        <f t="shared" si="69"/>
        <v>525000</v>
      </c>
      <c r="AB133" s="41">
        <f>P133*R133*3</f>
        <v>9450000</v>
      </c>
      <c r="AC133" s="38"/>
      <c r="AD133" s="44">
        <f t="shared" si="34"/>
        <v>0</v>
      </c>
      <c r="AE133" s="41">
        <f t="shared" si="59"/>
        <v>13623750</v>
      </c>
      <c r="AF133" s="315"/>
      <c r="AG133" s="45"/>
      <c r="AH133" s="67"/>
      <c r="AI133" s="67"/>
      <c r="AJ133" s="67"/>
    </row>
    <row r="134" spans="1:36" s="68" customFormat="1" ht="54" customHeight="1">
      <c r="A134" s="32">
        <v>38</v>
      </c>
      <c r="B134" s="33" t="s">
        <v>205</v>
      </c>
      <c r="C134" s="50">
        <v>96</v>
      </c>
      <c r="D134" s="50">
        <v>4</v>
      </c>
      <c r="E134" s="51">
        <v>131</v>
      </c>
      <c r="F134" s="34" t="s">
        <v>206</v>
      </c>
      <c r="G134" s="34" t="s">
        <v>99</v>
      </c>
      <c r="H134" s="35">
        <v>348.4</v>
      </c>
      <c r="I134" s="34" t="s">
        <v>55</v>
      </c>
      <c r="J134" s="36" t="s">
        <v>60</v>
      </c>
      <c r="K134" s="37">
        <f t="shared" si="67"/>
        <v>131</v>
      </c>
      <c r="L134" s="38">
        <v>43.2</v>
      </c>
      <c r="M134" s="38"/>
      <c r="N134" s="38"/>
      <c r="O134" s="38"/>
      <c r="P134" s="39">
        <f t="shared" si="36"/>
        <v>174.2</v>
      </c>
      <c r="Q134" s="63">
        <f>174.2</f>
        <v>174.2</v>
      </c>
      <c r="R134" s="40">
        <v>60000</v>
      </c>
      <c r="S134" s="41">
        <f t="shared" si="68"/>
        <v>10452000</v>
      </c>
      <c r="T134" s="41"/>
      <c r="U134" s="42" t="s">
        <v>47</v>
      </c>
      <c r="V134" s="66">
        <f t="shared" si="51"/>
        <v>174.2</v>
      </c>
      <c r="W134" s="38" t="s">
        <v>48</v>
      </c>
      <c r="X134" s="41">
        <v>9500</v>
      </c>
      <c r="Y134" s="43">
        <v>1</v>
      </c>
      <c r="Z134" s="41">
        <f t="shared" si="33"/>
        <v>1654900</v>
      </c>
      <c r="AA134" s="41">
        <f t="shared" si="69"/>
        <v>1742000</v>
      </c>
      <c r="AB134" s="41">
        <f t="shared" si="56"/>
        <v>31356000</v>
      </c>
      <c r="AC134" s="38"/>
      <c r="AD134" s="44">
        <f t="shared" si="34"/>
        <v>0</v>
      </c>
      <c r="AE134" s="41">
        <f t="shared" si="59"/>
        <v>45204900</v>
      </c>
      <c r="AF134" s="64">
        <f>AE134</f>
        <v>45204900</v>
      </c>
      <c r="AG134" s="45"/>
      <c r="AH134" s="67"/>
      <c r="AI134" s="67"/>
      <c r="AJ134" s="67"/>
    </row>
    <row r="135" spans="1:36" s="47" customFormat="1" ht="54.75" customHeight="1">
      <c r="A135" s="307">
        <v>39</v>
      </c>
      <c r="B135" s="33" t="s">
        <v>207</v>
      </c>
      <c r="C135" s="50">
        <v>7</v>
      </c>
      <c r="D135" s="50">
        <v>4</v>
      </c>
      <c r="E135" s="51">
        <v>600</v>
      </c>
      <c r="F135" s="34" t="s">
        <v>208</v>
      </c>
      <c r="G135" s="34" t="s">
        <v>99</v>
      </c>
      <c r="H135" s="35">
        <v>699.3</v>
      </c>
      <c r="I135" s="34" t="s">
        <v>45</v>
      </c>
      <c r="J135" s="36" t="s">
        <v>54</v>
      </c>
      <c r="K135" s="37">
        <f t="shared" si="67"/>
        <v>600</v>
      </c>
      <c r="L135" s="38">
        <f t="shared" ref="L135:L144" si="70">H135-K135</f>
        <v>99.299999999999955</v>
      </c>
      <c r="M135" s="38"/>
      <c r="N135" s="38"/>
      <c r="O135" s="38"/>
      <c r="P135" s="39">
        <f t="shared" si="36"/>
        <v>699.3</v>
      </c>
      <c r="Q135" s="310">
        <f>SUM(P135:P139)</f>
        <v>1569.2</v>
      </c>
      <c r="R135" s="40">
        <v>60000</v>
      </c>
      <c r="S135" s="41">
        <f t="shared" si="68"/>
        <v>41958000</v>
      </c>
      <c r="T135" s="41"/>
      <c r="U135" s="42" t="s">
        <v>47</v>
      </c>
      <c r="V135" s="66">
        <f t="shared" si="51"/>
        <v>699.3</v>
      </c>
      <c r="W135" s="38" t="s">
        <v>48</v>
      </c>
      <c r="X135" s="41">
        <v>9500</v>
      </c>
      <c r="Y135" s="43">
        <v>1</v>
      </c>
      <c r="Z135" s="41">
        <f t="shared" si="33"/>
        <v>6643350</v>
      </c>
      <c r="AA135" s="41">
        <f t="shared" si="69"/>
        <v>6993000</v>
      </c>
      <c r="AB135" s="41">
        <f t="shared" si="56"/>
        <v>125874000</v>
      </c>
      <c r="AC135" s="38">
        <v>3</v>
      </c>
      <c r="AD135" s="44">
        <f t="shared" si="34"/>
        <v>10500000</v>
      </c>
      <c r="AE135" s="41">
        <f t="shared" si="59"/>
        <v>191968350</v>
      </c>
      <c r="AF135" s="313">
        <f>SUM(AE135:AE139)</f>
        <v>417707400</v>
      </c>
      <c r="AG135" s="45"/>
      <c r="AH135" s="46"/>
      <c r="AI135" s="46"/>
      <c r="AJ135" s="46"/>
    </row>
    <row r="136" spans="1:36" s="47" customFormat="1" ht="54.75" customHeight="1">
      <c r="A136" s="308"/>
      <c r="B136" s="33" t="s">
        <v>207</v>
      </c>
      <c r="C136" s="50">
        <v>79</v>
      </c>
      <c r="D136" s="50">
        <v>4</v>
      </c>
      <c r="E136" s="51">
        <v>156</v>
      </c>
      <c r="F136" s="34" t="s">
        <v>209</v>
      </c>
      <c r="G136" s="34" t="s">
        <v>99</v>
      </c>
      <c r="H136" s="35">
        <v>193.4</v>
      </c>
      <c r="I136" s="34" t="s">
        <v>55</v>
      </c>
      <c r="J136" s="36" t="s">
        <v>60</v>
      </c>
      <c r="K136" s="37">
        <f t="shared" si="67"/>
        <v>156</v>
      </c>
      <c r="L136" s="38">
        <f t="shared" si="70"/>
        <v>37.400000000000006</v>
      </c>
      <c r="M136" s="38"/>
      <c r="N136" s="38"/>
      <c r="O136" s="38"/>
      <c r="P136" s="39">
        <f t="shared" si="36"/>
        <v>193.4</v>
      </c>
      <c r="Q136" s="311"/>
      <c r="R136" s="40">
        <v>60000</v>
      </c>
      <c r="S136" s="41">
        <f t="shared" si="68"/>
        <v>11604000</v>
      </c>
      <c r="T136" s="41"/>
      <c r="U136" s="42" t="s">
        <v>123</v>
      </c>
      <c r="V136" s="66">
        <f t="shared" si="51"/>
        <v>193.4</v>
      </c>
      <c r="W136" s="38" t="s">
        <v>48</v>
      </c>
      <c r="X136" s="41">
        <v>9500</v>
      </c>
      <c r="Y136" s="43">
        <v>1</v>
      </c>
      <c r="Z136" s="41">
        <f t="shared" si="33"/>
        <v>1837300</v>
      </c>
      <c r="AA136" s="41">
        <f t="shared" si="69"/>
        <v>1934000</v>
      </c>
      <c r="AB136" s="41">
        <f t="shared" si="56"/>
        <v>34812000</v>
      </c>
      <c r="AC136" s="38"/>
      <c r="AD136" s="44">
        <f t="shared" si="34"/>
        <v>0</v>
      </c>
      <c r="AE136" s="41">
        <f t="shared" si="59"/>
        <v>50187300</v>
      </c>
      <c r="AF136" s="314"/>
      <c r="AG136" s="45"/>
      <c r="AH136" s="46"/>
      <c r="AI136" s="46"/>
      <c r="AJ136" s="46"/>
    </row>
    <row r="137" spans="1:36" s="47" customFormat="1" ht="54.75" customHeight="1">
      <c r="A137" s="308"/>
      <c r="B137" s="33" t="s">
        <v>207</v>
      </c>
      <c r="C137" s="50">
        <v>79</v>
      </c>
      <c r="D137" s="50">
        <v>4</v>
      </c>
      <c r="E137" s="51">
        <v>336</v>
      </c>
      <c r="F137" s="34" t="s">
        <v>210</v>
      </c>
      <c r="G137" s="34" t="s">
        <v>99</v>
      </c>
      <c r="H137" s="35">
        <v>336.1</v>
      </c>
      <c r="I137" s="34" t="s">
        <v>45</v>
      </c>
      <c r="J137" s="36" t="s">
        <v>60</v>
      </c>
      <c r="K137" s="37">
        <f t="shared" si="67"/>
        <v>336</v>
      </c>
      <c r="L137" s="38">
        <f t="shared" si="70"/>
        <v>0.10000000000002274</v>
      </c>
      <c r="M137" s="38"/>
      <c r="N137" s="38"/>
      <c r="O137" s="38"/>
      <c r="P137" s="39">
        <f t="shared" si="36"/>
        <v>336.1</v>
      </c>
      <c r="Q137" s="311"/>
      <c r="R137" s="40">
        <v>60000</v>
      </c>
      <c r="S137" s="41">
        <f t="shared" si="68"/>
        <v>20166000</v>
      </c>
      <c r="T137" s="41"/>
      <c r="U137" s="42" t="s">
        <v>47</v>
      </c>
      <c r="V137" s="66">
        <f t="shared" si="51"/>
        <v>336.1</v>
      </c>
      <c r="W137" s="38" t="s">
        <v>48</v>
      </c>
      <c r="X137" s="41">
        <v>9500</v>
      </c>
      <c r="Y137" s="43">
        <v>1</v>
      </c>
      <c r="Z137" s="41">
        <f t="shared" si="33"/>
        <v>3192950</v>
      </c>
      <c r="AA137" s="41">
        <f t="shared" si="69"/>
        <v>3361000</v>
      </c>
      <c r="AB137" s="41">
        <f t="shared" si="56"/>
        <v>60498000</v>
      </c>
      <c r="AC137" s="38"/>
      <c r="AD137" s="44">
        <f t="shared" si="34"/>
        <v>0</v>
      </c>
      <c r="AE137" s="41">
        <f t="shared" si="59"/>
        <v>87217950</v>
      </c>
      <c r="AF137" s="314"/>
      <c r="AG137" s="45"/>
      <c r="AH137" s="46"/>
      <c r="AI137" s="46"/>
      <c r="AJ137" s="46"/>
    </row>
    <row r="138" spans="1:36" s="47" customFormat="1" ht="54.75" customHeight="1">
      <c r="A138" s="308"/>
      <c r="B138" s="33" t="s">
        <v>207</v>
      </c>
      <c r="C138" s="50"/>
      <c r="D138" s="50"/>
      <c r="E138" s="51"/>
      <c r="F138" s="34" t="s">
        <v>211</v>
      </c>
      <c r="G138" s="34" t="s">
        <v>99</v>
      </c>
      <c r="H138" s="35">
        <v>131.19999999999999</v>
      </c>
      <c r="I138" s="34" t="s">
        <v>49</v>
      </c>
      <c r="J138" s="36" t="s">
        <v>57</v>
      </c>
      <c r="K138" s="37"/>
      <c r="L138" s="38">
        <f t="shared" si="70"/>
        <v>131.19999999999999</v>
      </c>
      <c r="M138" s="38"/>
      <c r="N138" s="38"/>
      <c r="O138" s="38"/>
      <c r="P138" s="39">
        <f t="shared" si="36"/>
        <v>131.19999999999999</v>
      </c>
      <c r="Q138" s="311"/>
      <c r="R138" s="40">
        <v>60000</v>
      </c>
      <c r="S138" s="41">
        <f t="shared" si="68"/>
        <v>7871999.9999999991</v>
      </c>
      <c r="T138" s="41"/>
      <c r="U138" s="42" t="s">
        <v>123</v>
      </c>
      <c r="V138" s="66">
        <f t="shared" si="51"/>
        <v>131.19999999999999</v>
      </c>
      <c r="W138" s="38" t="s">
        <v>48</v>
      </c>
      <c r="X138" s="41">
        <v>9500</v>
      </c>
      <c r="Y138" s="43">
        <v>1</v>
      </c>
      <c r="Z138" s="41">
        <f t="shared" si="33"/>
        <v>1246400</v>
      </c>
      <c r="AA138" s="41">
        <f t="shared" si="69"/>
        <v>1312000</v>
      </c>
      <c r="AB138" s="41">
        <f t="shared" si="56"/>
        <v>23615999.999999996</v>
      </c>
      <c r="AC138" s="38"/>
      <c r="AD138" s="44">
        <f t="shared" si="34"/>
        <v>0</v>
      </c>
      <c r="AE138" s="41">
        <f t="shared" si="59"/>
        <v>34046400</v>
      </c>
      <c r="AF138" s="314"/>
      <c r="AG138" s="45"/>
      <c r="AH138" s="46"/>
      <c r="AI138" s="46"/>
      <c r="AJ138" s="46"/>
    </row>
    <row r="139" spans="1:36" s="47" customFormat="1" ht="54.75" customHeight="1">
      <c r="A139" s="309"/>
      <c r="B139" s="33" t="s">
        <v>207</v>
      </c>
      <c r="C139" s="50">
        <v>184</v>
      </c>
      <c r="D139" s="50">
        <v>5</v>
      </c>
      <c r="E139" s="51">
        <v>204</v>
      </c>
      <c r="F139" s="34" t="s">
        <v>212</v>
      </c>
      <c r="G139" s="34" t="s">
        <v>99</v>
      </c>
      <c r="H139" s="35">
        <v>209.2</v>
      </c>
      <c r="I139" s="34" t="s">
        <v>49</v>
      </c>
      <c r="J139" s="36" t="s">
        <v>57</v>
      </c>
      <c r="K139" s="37">
        <f t="shared" si="67"/>
        <v>204</v>
      </c>
      <c r="L139" s="38">
        <f t="shared" si="70"/>
        <v>5.1999999999999886</v>
      </c>
      <c r="M139" s="38"/>
      <c r="N139" s="38"/>
      <c r="O139" s="38"/>
      <c r="P139" s="39">
        <f t="shared" si="36"/>
        <v>209.2</v>
      </c>
      <c r="Q139" s="312"/>
      <c r="R139" s="40">
        <v>60000</v>
      </c>
      <c r="S139" s="41">
        <f t="shared" si="68"/>
        <v>12552000</v>
      </c>
      <c r="T139" s="41"/>
      <c r="U139" s="42" t="s">
        <v>123</v>
      </c>
      <c r="V139" s="66">
        <f t="shared" si="51"/>
        <v>209.2</v>
      </c>
      <c r="W139" s="38" t="s">
        <v>48</v>
      </c>
      <c r="X139" s="41">
        <v>9500</v>
      </c>
      <c r="Y139" s="43">
        <v>1</v>
      </c>
      <c r="Z139" s="41">
        <f t="shared" ref="Z139:Z145" si="71">V139*X139*Y139</f>
        <v>1987400</v>
      </c>
      <c r="AA139" s="41">
        <f t="shared" si="69"/>
        <v>2092000</v>
      </c>
      <c r="AB139" s="41">
        <f t="shared" si="56"/>
        <v>37656000</v>
      </c>
      <c r="AC139" s="38"/>
      <c r="AD139" s="44">
        <f t="shared" ref="AD139:AD203" si="72">AC139*3500000</f>
        <v>0</v>
      </c>
      <c r="AE139" s="41">
        <f t="shared" si="59"/>
        <v>54287400</v>
      </c>
      <c r="AF139" s="315"/>
      <c r="AG139" s="45"/>
      <c r="AH139" s="46"/>
      <c r="AI139" s="46"/>
      <c r="AJ139" s="46"/>
    </row>
    <row r="140" spans="1:36" s="68" customFormat="1" ht="54.75" customHeight="1">
      <c r="A140" s="307">
        <v>40</v>
      </c>
      <c r="B140" s="33" t="s">
        <v>213</v>
      </c>
      <c r="C140" s="50">
        <v>121</v>
      </c>
      <c r="D140" s="50">
        <v>4</v>
      </c>
      <c r="E140" s="51">
        <v>288</v>
      </c>
      <c r="F140" s="34" t="s">
        <v>214</v>
      </c>
      <c r="G140" s="34" t="s">
        <v>99</v>
      </c>
      <c r="H140" s="35">
        <v>270.3</v>
      </c>
      <c r="I140" s="34" t="s">
        <v>49</v>
      </c>
      <c r="J140" s="36" t="s">
        <v>57</v>
      </c>
      <c r="K140" s="37">
        <v>270.3</v>
      </c>
      <c r="L140" s="38">
        <f t="shared" si="70"/>
        <v>0</v>
      </c>
      <c r="M140" s="38"/>
      <c r="N140" s="38"/>
      <c r="O140" s="38"/>
      <c r="P140" s="39">
        <f t="shared" ref="P140:P203" si="73">SUM(K140:O140)</f>
        <v>270.3</v>
      </c>
      <c r="Q140" s="310">
        <f>SUM(P140:P144)</f>
        <v>808.19999999999993</v>
      </c>
      <c r="R140" s="40">
        <v>60000</v>
      </c>
      <c r="S140" s="41">
        <f t="shared" si="68"/>
        <v>16218000</v>
      </c>
      <c r="T140" s="41"/>
      <c r="U140" s="42" t="s">
        <v>90</v>
      </c>
      <c r="V140" s="66">
        <v>54</v>
      </c>
      <c r="W140" s="38" t="s">
        <v>52</v>
      </c>
      <c r="X140" s="41">
        <v>300000</v>
      </c>
      <c r="Y140" s="43">
        <v>0.8</v>
      </c>
      <c r="Z140" s="41">
        <f t="shared" si="71"/>
        <v>12960000</v>
      </c>
      <c r="AA140" s="41">
        <f t="shared" si="69"/>
        <v>2703000</v>
      </c>
      <c r="AB140" s="41">
        <f t="shared" si="56"/>
        <v>48654000</v>
      </c>
      <c r="AC140" s="38">
        <v>1</v>
      </c>
      <c r="AD140" s="44">
        <f t="shared" si="72"/>
        <v>3500000</v>
      </c>
      <c r="AE140" s="41">
        <f t="shared" si="59"/>
        <v>84035000</v>
      </c>
      <c r="AF140" s="313">
        <f>SUM(AE140:AE144)</f>
        <v>231554800</v>
      </c>
      <c r="AG140" s="45" t="s">
        <v>451</v>
      </c>
      <c r="AH140" s="67"/>
      <c r="AI140" s="67"/>
      <c r="AJ140" s="67"/>
    </row>
    <row r="141" spans="1:36" s="68" customFormat="1" ht="54.75" customHeight="1">
      <c r="A141" s="308"/>
      <c r="B141" s="33" t="s">
        <v>213</v>
      </c>
      <c r="C141" s="322">
        <v>28</v>
      </c>
      <c r="D141" s="322">
        <v>4</v>
      </c>
      <c r="E141" s="325">
        <v>360</v>
      </c>
      <c r="F141" s="34" t="s">
        <v>215</v>
      </c>
      <c r="G141" s="34" t="s">
        <v>99</v>
      </c>
      <c r="H141" s="35">
        <v>124.5</v>
      </c>
      <c r="I141" s="34" t="s">
        <v>45</v>
      </c>
      <c r="J141" s="36" t="s">
        <v>54</v>
      </c>
      <c r="K141" s="37">
        <v>124.5</v>
      </c>
      <c r="L141" s="38">
        <f t="shared" si="70"/>
        <v>0</v>
      </c>
      <c r="M141" s="38"/>
      <c r="N141" s="38"/>
      <c r="O141" s="38"/>
      <c r="P141" s="39">
        <f t="shared" si="73"/>
        <v>124.5</v>
      </c>
      <c r="Q141" s="311"/>
      <c r="R141" s="40">
        <v>60000</v>
      </c>
      <c r="S141" s="41">
        <f t="shared" si="68"/>
        <v>7470000</v>
      </c>
      <c r="T141" s="41"/>
      <c r="U141" s="42" t="s">
        <v>90</v>
      </c>
      <c r="V141" s="66">
        <v>19</v>
      </c>
      <c r="W141" s="38" t="s">
        <v>52</v>
      </c>
      <c r="X141" s="41">
        <v>300000</v>
      </c>
      <c r="Y141" s="43">
        <v>0.8</v>
      </c>
      <c r="Z141" s="41">
        <f t="shared" si="71"/>
        <v>4560000</v>
      </c>
      <c r="AA141" s="41">
        <f t="shared" si="69"/>
        <v>1245000</v>
      </c>
      <c r="AB141" s="41">
        <f t="shared" si="56"/>
        <v>22410000</v>
      </c>
      <c r="AC141" s="38"/>
      <c r="AD141" s="44">
        <f t="shared" si="72"/>
        <v>0</v>
      </c>
      <c r="AE141" s="41">
        <f t="shared" si="59"/>
        <v>35685000</v>
      </c>
      <c r="AF141" s="314"/>
      <c r="AG141" s="56"/>
      <c r="AH141" s="67"/>
      <c r="AI141" s="67"/>
      <c r="AJ141" s="67"/>
    </row>
    <row r="142" spans="1:36" s="68" customFormat="1" ht="54.75" customHeight="1">
      <c r="A142" s="308"/>
      <c r="B142" s="33" t="s">
        <v>213</v>
      </c>
      <c r="C142" s="323"/>
      <c r="D142" s="323"/>
      <c r="E142" s="326"/>
      <c r="F142" s="320" t="s">
        <v>96</v>
      </c>
      <c r="G142" s="320" t="s">
        <v>99</v>
      </c>
      <c r="H142" s="328">
        <v>286</v>
      </c>
      <c r="I142" s="320" t="s">
        <v>45</v>
      </c>
      <c r="J142" s="322" t="s">
        <v>54</v>
      </c>
      <c r="K142" s="330">
        <f>360-124.5</f>
        <v>235.5</v>
      </c>
      <c r="L142" s="332">
        <f t="shared" ref="L142" si="74">H142-K142</f>
        <v>50.5</v>
      </c>
      <c r="M142" s="38"/>
      <c r="N142" s="38"/>
      <c r="O142" s="38"/>
      <c r="P142" s="39">
        <f t="shared" si="73"/>
        <v>286</v>
      </c>
      <c r="Q142" s="311"/>
      <c r="R142" s="40">
        <v>60000</v>
      </c>
      <c r="S142" s="41">
        <f t="shared" si="68"/>
        <v>17160000</v>
      </c>
      <c r="T142" s="41"/>
      <c r="U142" s="42" t="s">
        <v>216</v>
      </c>
      <c r="V142" s="66">
        <v>45</v>
      </c>
      <c r="W142" s="38" t="s">
        <v>52</v>
      </c>
      <c r="X142" s="41">
        <v>125000</v>
      </c>
      <c r="Y142" s="43">
        <v>0.8</v>
      </c>
      <c r="Z142" s="41">
        <f t="shared" ref="Z142" si="75">V142*X142*Y142</f>
        <v>4500000</v>
      </c>
      <c r="AA142" s="41">
        <f t="shared" si="69"/>
        <v>2860000</v>
      </c>
      <c r="AB142" s="41">
        <f t="shared" ref="AB142" si="76">P142*R142*3</f>
        <v>51480000</v>
      </c>
      <c r="AC142" s="38"/>
      <c r="AD142" s="44">
        <f t="shared" ref="AD142" si="77">AC142*3500000</f>
        <v>0</v>
      </c>
      <c r="AE142" s="41">
        <f t="shared" si="59"/>
        <v>76000000</v>
      </c>
      <c r="AF142" s="314"/>
      <c r="AG142" s="45"/>
      <c r="AH142" s="67"/>
      <c r="AI142" s="67"/>
      <c r="AJ142" s="67"/>
    </row>
    <row r="143" spans="1:36" s="68" customFormat="1" ht="54.75" customHeight="1">
      <c r="A143" s="308"/>
      <c r="B143" s="33" t="s">
        <v>213</v>
      </c>
      <c r="C143" s="323"/>
      <c r="D143" s="323"/>
      <c r="E143" s="326"/>
      <c r="F143" s="321"/>
      <c r="G143" s="321"/>
      <c r="H143" s="329"/>
      <c r="I143" s="321"/>
      <c r="J143" s="324"/>
      <c r="K143" s="331"/>
      <c r="L143" s="333"/>
      <c r="M143" s="38"/>
      <c r="N143" s="38"/>
      <c r="O143" s="38"/>
      <c r="P143" s="39">
        <f t="shared" si="73"/>
        <v>0</v>
      </c>
      <c r="Q143" s="311"/>
      <c r="R143" s="40"/>
      <c r="S143" s="41">
        <f t="shared" si="58"/>
        <v>0</v>
      </c>
      <c r="T143" s="41"/>
      <c r="U143" s="42" t="s">
        <v>64</v>
      </c>
      <c r="V143" s="66">
        <v>35.119999999999997</v>
      </c>
      <c r="W143" s="38" t="s">
        <v>48</v>
      </c>
      <c r="X143" s="41">
        <v>9500</v>
      </c>
      <c r="Y143" s="43">
        <v>1</v>
      </c>
      <c r="Z143" s="41">
        <v>333600</v>
      </c>
      <c r="AA143" s="41">
        <f t="shared" ref="AA143:AA145" si="78">P143*10000</f>
        <v>0</v>
      </c>
      <c r="AB143" s="41">
        <f t="shared" si="56"/>
        <v>0</v>
      </c>
      <c r="AC143" s="38"/>
      <c r="AD143" s="44">
        <f t="shared" si="72"/>
        <v>0</v>
      </c>
      <c r="AE143" s="41">
        <f t="shared" si="59"/>
        <v>333600</v>
      </c>
      <c r="AF143" s="314"/>
      <c r="AG143" s="45"/>
      <c r="AH143" s="67"/>
      <c r="AI143" s="67"/>
      <c r="AJ143" s="67"/>
    </row>
    <row r="144" spans="1:36" s="68" customFormat="1" ht="54.75" customHeight="1">
      <c r="A144" s="309"/>
      <c r="B144" s="33" t="s">
        <v>213</v>
      </c>
      <c r="C144" s="50">
        <v>67</v>
      </c>
      <c r="D144" s="50">
        <v>4</v>
      </c>
      <c r="E144" s="51">
        <v>76</v>
      </c>
      <c r="F144" s="34" t="s">
        <v>217</v>
      </c>
      <c r="G144" s="34" t="s">
        <v>99</v>
      </c>
      <c r="H144" s="35">
        <v>127.4</v>
      </c>
      <c r="I144" s="34" t="s">
        <v>55</v>
      </c>
      <c r="J144" s="36" t="s">
        <v>56</v>
      </c>
      <c r="K144" s="37">
        <f t="shared" ref="K144" si="79">E144</f>
        <v>76</v>
      </c>
      <c r="L144" s="38">
        <f t="shared" si="70"/>
        <v>51.400000000000006</v>
      </c>
      <c r="M144" s="38"/>
      <c r="N144" s="38"/>
      <c r="O144" s="38"/>
      <c r="P144" s="39">
        <f t="shared" si="73"/>
        <v>127.4</v>
      </c>
      <c r="Q144" s="311"/>
      <c r="R144" s="40">
        <v>60000</v>
      </c>
      <c r="S144" s="41">
        <f t="shared" si="58"/>
        <v>7644000</v>
      </c>
      <c r="T144" s="41"/>
      <c r="U144" s="42" t="s">
        <v>68</v>
      </c>
      <c r="V144" s="66">
        <v>28</v>
      </c>
      <c r="W144" s="38" t="s">
        <v>52</v>
      </c>
      <c r="X144" s="41">
        <v>163000</v>
      </c>
      <c r="Y144" s="43">
        <v>0.8</v>
      </c>
      <c r="Z144" s="41">
        <f t="shared" si="71"/>
        <v>3651200</v>
      </c>
      <c r="AA144" s="41">
        <f t="shared" si="78"/>
        <v>1274000</v>
      </c>
      <c r="AB144" s="41">
        <f t="shared" si="56"/>
        <v>22932000</v>
      </c>
      <c r="AC144" s="38"/>
      <c r="AD144" s="44">
        <f t="shared" si="72"/>
        <v>0</v>
      </c>
      <c r="AE144" s="41">
        <f t="shared" si="59"/>
        <v>35501200</v>
      </c>
      <c r="AF144" s="314"/>
      <c r="AG144" s="45"/>
      <c r="AH144" s="67"/>
      <c r="AI144" s="67"/>
      <c r="AJ144" s="67"/>
    </row>
    <row r="145" spans="1:36" s="47" customFormat="1" ht="66" customHeight="1">
      <c r="A145" s="307">
        <v>41</v>
      </c>
      <c r="B145" s="33" t="s">
        <v>218</v>
      </c>
      <c r="C145" s="50">
        <v>99</v>
      </c>
      <c r="D145" s="50">
        <v>4</v>
      </c>
      <c r="E145" s="51">
        <v>456</v>
      </c>
      <c r="F145" s="34" t="s">
        <v>219</v>
      </c>
      <c r="G145" s="34">
        <v>28</v>
      </c>
      <c r="H145" s="35">
        <v>516.79999999999995</v>
      </c>
      <c r="I145" s="34" t="s">
        <v>45</v>
      </c>
      <c r="J145" s="36" t="s">
        <v>60</v>
      </c>
      <c r="K145" s="37">
        <v>456</v>
      </c>
      <c r="L145" s="38">
        <f>H145-K145</f>
        <v>60.799999999999955</v>
      </c>
      <c r="M145" s="38"/>
      <c r="N145" s="38"/>
      <c r="O145" s="38"/>
      <c r="P145" s="39">
        <f t="shared" si="73"/>
        <v>516.79999999999995</v>
      </c>
      <c r="Q145" s="316">
        <f>SUM(P145:P146)</f>
        <v>516.79999999999995</v>
      </c>
      <c r="R145" s="40">
        <v>60000</v>
      </c>
      <c r="S145" s="41">
        <f t="shared" si="58"/>
        <v>31007999.999999996</v>
      </c>
      <c r="T145" s="41"/>
      <c r="U145" s="42" t="s">
        <v>64</v>
      </c>
      <c r="V145" s="66">
        <f t="shared" ref="V145" si="80">P145</f>
        <v>516.79999999999995</v>
      </c>
      <c r="W145" s="38" t="s">
        <v>48</v>
      </c>
      <c r="X145" s="41">
        <v>9500</v>
      </c>
      <c r="Y145" s="43">
        <v>1</v>
      </c>
      <c r="Z145" s="41">
        <f t="shared" si="71"/>
        <v>4909600</v>
      </c>
      <c r="AA145" s="41">
        <f t="shared" si="78"/>
        <v>5168000</v>
      </c>
      <c r="AB145" s="41">
        <f t="shared" si="56"/>
        <v>93023999.999999985</v>
      </c>
      <c r="AC145" s="38">
        <v>1</v>
      </c>
      <c r="AD145" s="44">
        <f t="shared" si="72"/>
        <v>3500000</v>
      </c>
      <c r="AE145" s="41">
        <f t="shared" si="59"/>
        <v>137609600</v>
      </c>
      <c r="AF145" s="317">
        <f>SUM(AE145:AE146)</f>
        <v>137609600</v>
      </c>
      <c r="AG145" s="45" t="s">
        <v>70</v>
      </c>
      <c r="AH145" s="46"/>
      <c r="AI145" s="46"/>
      <c r="AJ145" s="46"/>
    </row>
    <row r="146" spans="1:36" s="47" customFormat="1" ht="66" customHeight="1">
      <c r="A146" s="309"/>
      <c r="B146" s="33" t="s">
        <v>218</v>
      </c>
      <c r="C146" s="50"/>
      <c r="D146" s="50"/>
      <c r="E146" s="51"/>
      <c r="F146" s="34" t="s">
        <v>219</v>
      </c>
      <c r="G146" s="34">
        <v>28</v>
      </c>
      <c r="H146" s="35">
        <v>516.79999999999995</v>
      </c>
      <c r="I146" s="34" t="s">
        <v>45</v>
      </c>
      <c r="J146" s="36" t="s">
        <v>60</v>
      </c>
      <c r="K146" s="37"/>
      <c r="L146" s="38"/>
      <c r="M146" s="38"/>
      <c r="N146" s="38"/>
      <c r="O146" s="38"/>
      <c r="P146" s="39">
        <f t="shared" si="73"/>
        <v>0</v>
      </c>
      <c r="Q146" s="316"/>
      <c r="R146" s="40"/>
      <c r="S146" s="41"/>
      <c r="T146" s="41"/>
      <c r="U146" s="42" t="s">
        <v>220</v>
      </c>
      <c r="V146" s="66"/>
      <c r="W146" s="38"/>
      <c r="X146" s="41"/>
      <c r="Y146" s="43"/>
      <c r="Z146" s="41"/>
      <c r="AA146" s="41"/>
      <c r="AB146" s="41"/>
      <c r="AC146" s="38"/>
      <c r="AD146" s="44">
        <f t="shared" si="72"/>
        <v>0</v>
      </c>
      <c r="AE146" s="41"/>
      <c r="AF146" s="317"/>
      <c r="AG146" s="45" t="s">
        <v>70</v>
      </c>
      <c r="AH146" s="46"/>
      <c r="AI146" s="46"/>
      <c r="AJ146" s="46"/>
    </row>
    <row r="147" spans="1:36" s="68" customFormat="1" ht="54.75" customHeight="1">
      <c r="A147" s="307">
        <v>42</v>
      </c>
      <c r="B147" s="33" t="s">
        <v>521</v>
      </c>
      <c r="C147" s="50">
        <v>32</v>
      </c>
      <c r="D147" s="50">
        <v>5</v>
      </c>
      <c r="E147" s="51">
        <v>36</v>
      </c>
      <c r="F147" s="34">
        <v>526</v>
      </c>
      <c r="G147" s="34">
        <v>28</v>
      </c>
      <c r="H147" s="35">
        <v>106.5</v>
      </c>
      <c r="I147" s="34" t="s">
        <v>49</v>
      </c>
      <c r="J147" s="36" t="s">
        <v>111</v>
      </c>
      <c r="K147" s="37">
        <f t="shared" ref="K147:K163" si="81">E147</f>
        <v>36</v>
      </c>
      <c r="L147" s="38">
        <f t="shared" ref="L147:L160" si="82">H147-K147</f>
        <v>70.5</v>
      </c>
      <c r="M147" s="38"/>
      <c r="N147" s="38"/>
      <c r="O147" s="38"/>
      <c r="P147" s="39">
        <f t="shared" si="73"/>
        <v>106.5</v>
      </c>
      <c r="Q147" s="310">
        <f>SUM(P147:P152)</f>
        <v>478.8</v>
      </c>
      <c r="R147" s="40">
        <v>60000</v>
      </c>
      <c r="S147" s="41">
        <f t="shared" ref="S147:S151" si="83">P147*R147</f>
        <v>6390000</v>
      </c>
      <c r="T147" s="41"/>
      <c r="U147" s="42" t="s">
        <v>199</v>
      </c>
      <c r="V147" s="66">
        <f>P147</f>
        <v>106.5</v>
      </c>
      <c r="W147" s="38" t="s">
        <v>48</v>
      </c>
      <c r="X147" s="41">
        <v>43000</v>
      </c>
      <c r="Y147" s="43">
        <v>1</v>
      </c>
      <c r="Z147" s="41">
        <f t="shared" ref="Z147:Z210" si="84">V147*X147*Y147</f>
        <v>4579500</v>
      </c>
      <c r="AA147" s="41">
        <f t="shared" ref="AA147:AA151" si="85">P147*10000</f>
        <v>1065000</v>
      </c>
      <c r="AB147" s="41">
        <f t="shared" ref="AB147:AB210" si="86">P147*R147*3</f>
        <v>19170000</v>
      </c>
      <c r="AC147" s="38">
        <v>1</v>
      </c>
      <c r="AD147" s="44">
        <f t="shared" si="72"/>
        <v>3500000</v>
      </c>
      <c r="AE147" s="41">
        <f t="shared" ref="AE147:AE210" si="87">S147+Z147+AA147+AB147+AD147+T147</f>
        <v>34704500</v>
      </c>
      <c r="AF147" s="313">
        <f>SUM(AE147:AE152)</f>
        <v>131316350</v>
      </c>
      <c r="AG147" s="45"/>
      <c r="AH147" s="67"/>
      <c r="AI147" s="67"/>
      <c r="AJ147" s="67"/>
    </row>
    <row r="148" spans="1:36" s="68" customFormat="1" ht="54.75" customHeight="1">
      <c r="A148" s="308"/>
      <c r="B148" s="33" t="s">
        <v>521</v>
      </c>
      <c r="C148" s="50"/>
      <c r="D148" s="50"/>
      <c r="E148" s="51"/>
      <c r="F148" s="34">
        <v>526</v>
      </c>
      <c r="G148" s="34">
        <v>28</v>
      </c>
      <c r="H148" s="35">
        <v>106.5</v>
      </c>
      <c r="I148" s="34" t="s">
        <v>49</v>
      </c>
      <c r="J148" s="36" t="s">
        <v>111</v>
      </c>
      <c r="K148" s="37"/>
      <c r="L148" s="38"/>
      <c r="M148" s="38"/>
      <c r="N148" s="38"/>
      <c r="O148" s="38"/>
      <c r="P148" s="39">
        <f t="shared" si="73"/>
        <v>0</v>
      </c>
      <c r="Q148" s="311"/>
      <c r="R148" s="40">
        <v>60000</v>
      </c>
      <c r="S148" s="41">
        <f t="shared" si="83"/>
        <v>0</v>
      </c>
      <c r="T148" s="41"/>
      <c r="U148" s="42" t="s">
        <v>173</v>
      </c>
      <c r="V148" s="66">
        <f>P148</f>
        <v>0</v>
      </c>
      <c r="W148" s="38"/>
      <c r="X148" s="41"/>
      <c r="Y148" s="43"/>
      <c r="Z148" s="41"/>
      <c r="AA148" s="41">
        <f t="shared" si="85"/>
        <v>0</v>
      </c>
      <c r="AB148" s="41">
        <f t="shared" si="86"/>
        <v>0</v>
      </c>
      <c r="AC148" s="38"/>
      <c r="AD148" s="44">
        <f t="shared" si="72"/>
        <v>0</v>
      </c>
      <c r="AE148" s="41">
        <f t="shared" si="87"/>
        <v>0</v>
      </c>
      <c r="AF148" s="314"/>
      <c r="AG148" s="45" t="s">
        <v>174</v>
      </c>
      <c r="AH148" s="67"/>
      <c r="AI148" s="67"/>
      <c r="AJ148" s="67"/>
    </row>
    <row r="149" spans="1:36" s="68" customFormat="1" ht="54.75" customHeight="1">
      <c r="A149" s="308"/>
      <c r="B149" s="33" t="s">
        <v>521</v>
      </c>
      <c r="C149" s="72">
        <v>146</v>
      </c>
      <c r="D149" s="72">
        <v>5</v>
      </c>
      <c r="E149" s="73">
        <v>240</v>
      </c>
      <c r="F149" s="34">
        <v>196</v>
      </c>
      <c r="G149" s="34">
        <v>28</v>
      </c>
      <c r="H149" s="35">
        <v>232.9</v>
      </c>
      <c r="I149" s="34" t="s">
        <v>45</v>
      </c>
      <c r="J149" s="36" t="s">
        <v>46</v>
      </c>
      <c r="K149" s="37">
        <v>53.9</v>
      </c>
      <c r="L149" s="38"/>
      <c r="M149" s="38"/>
      <c r="N149" s="38"/>
      <c r="O149" s="38"/>
      <c r="P149" s="39">
        <f t="shared" si="73"/>
        <v>53.9</v>
      </c>
      <c r="Q149" s="311"/>
      <c r="R149" s="40">
        <v>60000</v>
      </c>
      <c r="S149" s="41">
        <f t="shared" si="83"/>
        <v>3234000</v>
      </c>
      <c r="T149" s="41"/>
      <c r="U149" s="42" t="s">
        <v>64</v>
      </c>
      <c r="V149" s="66">
        <f t="shared" ref="V149:V150" si="88">P149</f>
        <v>53.9</v>
      </c>
      <c r="W149" s="38" t="s">
        <v>48</v>
      </c>
      <c r="X149" s="41">
        <v>9500</v>
      </c>
      <c r="Y149" s="43">
        <v>1</v>
      </c>
      <c r="Z149" s="41">
        <f t="shared" si="84"/>
        <v>512050</v>
      </c>
      <c r="AA149" s="41">
        <f t="shared" si="85"/>
        <v>539000</v>
      </c>
      <c r="AB149" s="41">
        <f t="shared" si="86"/>
        <v>9702000</v>
      </c>
      <c r="AC149" s="38"/>
      <c r="AD149" s="44">
        <f t="shared" si="72"/>
        <v>0</v>
      </c>
      <c r="AE149" s="41">
        <f t="shared" si="87"/>
        <v>13987050</v>
      </c>
      <c r="AF149" s="314"/>
      <c r="AG149" s="45"/>
      <c r="AH149" s="67"/>
      <c r="AI149" s="67"/>
      <c r="AJ149" s="67"/>
    </row>
    <row r="150" spans="1:36" s="68" customFormat="1" ht="54.75" customHeight="1">
      <c r="A150" s="308"/>
      <c r="B150" s="33" t="s">
        <v>521</v>
      </c>
      <c r="C150" s="77"/>
      <c r="D150" s="77"/>
      <c r="E150" s="78"/>
      <c r="F150" s="34">
        <v>197</v>
      </c>
      <c r="G150" s="34">
        <v>28</v>
      </c>
      <c r="H150" s="35">
        <v>900.7</v>
      </c>
      <c r="I150" s="34" t="s">
        <v>45</v>
      </c>
      <c r="J150" s="36" t="s">
        <v>46</v>
      </c>
      <c r="K150" s="37">
        <f>240-53.9</f>
        <v>186.1</v>
      </c>
      <c r="L150" s="38">
        <f>193.7-186.1</f>
        <v>7.5999999999999943</v>
      </c>
      <c r="M150" s="38"/>
      <c r="N150" s="38"/>
      <c r="O150" s="38"/>
      <c r="P150" s="39">
        <f t="shared" si="73"/>
        <v>193.7</v>
      </c>
      <c r="Q150" s="311"/>
      <c r="R150" s="40">
        <v>60000</v>
      </c>
      <c r="S150" s="41">
        <f t="shared" si="83"/>
        <v>11622000</v>
      </c>
      <c r="T150" s="41"/>
      <c r="U150" s="42" t="s">
        <v>64</v>
      </c>
      <c r="V150" s="66">
        <f t="shared" si="88"/>
        <v>193.7</v>
      </c>
      <c r="W150" s="38" t="s">
        <v>48</v>
      </c>
      <c r="X150" s="41">
        <v>9500</v>
      </c>
      <c r="Y150" s="43">
        <v>1</v>
      </c>
      <c r="Z150" s="41">
        <f t="shared" si="84"/>
        <v>1840150</v>
      </c>
      <c r="AA150" s="41">
        <f t="shared" si="85"/>
        <v>1937000</v>
      </c>
      <c r="AB150" s="41">
        <f t="shared" si="86"/>
        <v>34866000</v>
      </c>
      <c r="AC150" s="38"/>
      <c r="AD150" s="44">
        <f t="shared" si="72"/>
        <v>0</v>
      </c>
      <c r="AE150" s="41">
        <f t="shared" si="87"/>
        <v>50265150</v>
      </c>
      <c r="AF150" s="314"/>
      <c r="AG150" s="45"/>
      <c r="AH150" s="67"/>
      <c r="AI150" s="67"/>
      <c r="AJ150" s="67"/>
    </row>
    <row r="151" spans="1:36" s="68" customFormat="1" ht="54.75" customHeight="1">
      <c r="A151" s="308"/>
      <c r="B151" s="33" t="s">
        <v>521</v>
      </c>
      <c r="C151" s="50"/>
      <c r="D151" s="50"/>
      <c r="E151" s="51"/>
      <c r="F151" s="34">
        <v>85</v>
      </c>
      <c r="G151" s="34">
        <v>28</v>
      </c>
      <c r="H151" s="35">
        <v>124.7</v>
      </c>
      <c r="I151" s="34" t="s">
        <v>49</v>
      </c>
      <c r="J151" s="36" t="s">
        <v>50</v>
      </c>
      <c r="K151" s="37"/>
      <c r="L151" s="38">
        <f t="shared" ref="L151" si="89">H151-K151</f>
        <v>124.7</v>
      </c>
      <c r="M151" s="38"/>
      <c r="N151" s="38"/>
      <c r="O151" s="38"/>
      <c r="P151" s="39">
        <f t="shared" si="73"/>
        <v>124.7</v>
      </c>
      <c r="Q151" s="311"/>
      <c r="R151" s="40">
        <v>60000</v>
      </c>
      <c r="S151" s="41">
        <f t="shared" si="83"/>
        <v>7482000</v>
      </c>
      <c r="T151" s="41"/>
      <c r="U151" s="42" t="s">
        <v>64</v>
      </c>
      <c r="V151" s="66">
        <f>P151</f>
        <v>124.7</v>
      </c>
      <c r="W151" s="38" t="s">
        <v>48</v>
      </c>
      <c r="X151" s="41">
        <v>9500</v>
      </c>
      <c r="Y151" s="43">
        <v>1</v>
      </c>
      <c r="Z151" s="41">
        <f t="shared" si="84"/>
        <v>1184650</v>
      </c>
      <c r="AA151" s="41">
        <f t="shared" si="85"/>
        <v>1247000</v>
      </c>
      <c r="AB151" s="41">
        <f t="shared" si="86"/>
        <v>22446000</v>
      </c>
      <c r="AC151" s="38"/>
      <c r="AD151" s="44">
        <f t="shared" si="72"/>
        <v>0</v>
      </c>
      <c r="AE151" s="41">
        <f t="shared" si="87"/>
        <v>32359650</v>
      </c>
      <c r="AF151" s="314"/>
      <c r="AG151" s="45"/>
      <c r="AH151" s="67"/>
      <c r="AI151" s="67"/>
      <c r="AJ151" s="67"/>
    </row>
    <row r="152" spans="1:36" s="68" customFormat="1" ht="54.75" customHeight="1">
      <c r="A152" s="309"/>
      <c r="B152" s="33" t="s">
        <v>521</v>
      </c>
      <c r="C152" s="50"/>
      <c r="D152" s="50"/>
      <c r="E152" s="51"/>
      <c r="F152" s="34">
        <v>85</v>
      </c>
      <c r="G152" s="34">
        <v>28</v>
      </c>
      <c r="H152" s="35">
        <v>124.7</v>
      </c>
      <c r="I152" s="34" t="s">
        <v>49</v>
      </c>
      <c r="J152" s="36" t="s">
        <v>50</v>
      </c>
      <c r="K152" s="37"/>
      <c r="L152" s="38"/>
      <c r="M152" s="38"/>
      <c r="N152" s="38"/>
      <c r="O152" s="38"/>
      <c r="P152" s="39">
        <f t="shared" si="73"/>
        <v>0</v>
      </c>
      <c r="Q152" s="312"/>
      <c r="R152" s="40"/>
      <c r="S152" s="41">
        <f t="shared" ref="S152:S210" si="90">P152*R152</f>
        <v>0</v>
      </c>
      <c r="T152" s="41"/>
      <c r="U152" s="42" t="s">
        <v>173</v>
      </c>
      <c r="V152" s="66">
        <f>P152</f>
        <v>0</v>
      </c>
      <c r="W152" s="38"/>
      <c r="X152" s="41"/>
      <c r="Y152" s="43"/>
      <c r="Z152" s="41">
        <f t="shared" si="84"/>
        <v>0</v>
      </c>
      <c r="AA152" s="41">
        <f t="shared" ref="AA152:AA155" si="91">P152*10000</f>
        <v>0</v>
      </c>
      <c r="AB152" s="41">
        <f t="shared" si="86"/>
        <v>0</v>
      </c>
      <c r="AC152" s="38"/>
      <c r="AD152" s="44">
        <f t="shared" si="72"/>
        <v>0</v>
      </c>
      <c r="AE152" s="41">
        <f t="shared" si="87"/>
        <v>0</v>
      </c>
      <c r="AF152" s="315"/>
      <c r="AG152" s="45" t="s">
        <v>174</v>
      </c>
      <c r="AH152" s="67"/>
      <c r="AI152" s="67"/>
      <c r="AJ152" s="67"/>
    </row>
    <row r="153" spans="1:36" s="68" customFormat="1" ht="57.75" customHeight="1">
      <c r="A153" s="307">
        <v>43</v>
      </c>
      <c r="B153" s="33" t="s">
        <v>221</v>
      </c>
      <c r="C153" s="50">
        <v>108</v>
      </c>
      <c r="D153" s="50">
        <v>5</v>
      </c>
      <c r="E153" s="51">
        <v>120</v>
      </c>
      <c r="F153" s="34" t="s">
        <v>222</v>
      </c>
      <c r="G153" s="34" t="s">
        <v>159</v>
      </c>
      <c r="H153" s="35">
        <v>139.6</v>
      </c>
      <c r="I153" s="34" t="s">
        <v>49</v>
      </c>
      <c r="J153" s="36" t="s">
        <v>50</v>
      </c>
      <c r="K153" s="37">
        <f t="shared" ref="K153" si="92">E153</f>
        <v>120</v>
      </c>
      <c r="L153" s="38">
        <f t="shared" ref="L153" si="93">H153-K153</f>
        <v>19.599999999999994</v>
      </c>
      <c r="M153" s="38"/>
      <c r="N153" s="38"/>
      <c r="O153" s="38"/>
      <c r="P153" s="39">
        <f t="shared" si="73"/>
        <v>139.6</v>
      </c>
      <c r="Q153" s="310">
        <f>SUM(P153:P158)</f>
        <v>757.1</v>
      </c>
      <c r="R153" s="40">
        <v>60000</v>
      </c>
      <c r="S153" s="41">
        <f t="shared" si="90"/>
        <v>8376000</v>
      </c>
      <c r="T153" s="41"/>
      <c r="U153" s="42" t="s">
        <v>64</v>
      </c>
      <c r="V153" s="66">
        <f>P153</f>
        <v>139.6</v>
      </c>
      <c r="W153" s="38" t="s">
        <v>48</v>
      </c>
      <c r="X153" s="41">
        <v>9500</v>
      </c>
      <c r="Y153" s="43">
        <v>1</v>
      </c>
      <c r="Z153" s="41">
        <f t="shared" si="84"/>
        <v>1326200</v>
      </c>
      <c r="AA153" s="41">
        <f t="shared" si="91"/>
        <v>1396000</v>
      </c>
      <c r="AB153" s="41">
        <f t="shared" si="86"/>
        <v>25128000</v>
      </c>
      <c r="AC153" s="38">
        <v>1</v>
      </c>
      <c r="AD153" s="44">
        <f t="shared" si="72"/>
        <v>3500000</v>
      </c>
      <c r="AE153" s="41">
        <f t="shared" si="87"/>
        <v>39726200</v>
      </c>
      <c r="AF153" s="313">
        <f>SUM(AE153:AE158)</f>
        <v>199967450</v>
      </c>
      <c r="AG153" s="45"/>
      <c r="AH153" s="67"/>
      <c r="AI153" s="67"/>
      <c r="AJ153" s="67"/>
    </row>
    <row r="154" spans="1:36" s="68" customFormat="1" ht="57.75" customHeight="1">
      <c r="A154" s="308"/>
      <c r="B154" s="33" t="s">
        <v>221</v>
      </c>
      <c r="C154" s="50"/>
      <c r="D154" s="50"/>
      <c r="E154" s="51"/>
      <c r="F154" s="34" t="s">
        <v>222</v>
      </c>
      <c r="G154" s="34" t="s">
        <v>159</v>
      </c>
      <c r="H154" s="35">
        <v>139.6</v>
      </c>
      <c r="I154" s="34" t="s">
        <v>49</v>
      </c>
      <c r="J154" s="36" t="s">
        <v>50</v>
      </c>
      <c r="K154" s="37"/>
      <c r="L154" s="38"/>
      <c r="M154" s="38"/>
      <c r="N154" s="38"/>
      <c r="O154" s="38"/>
      <c r="P154" s="39">
        <f t="shared" si="73"/>
        <v>0</v>
      </c>
      <c r="Q154" s="311"/>
      <c r="R154" s="40">
        <v>60000</v>
      </c>
      <c r="S154" s="41">
        <f t="shared" si="90"/>
        <v>0</v>
      </c>
      <c r="T154" s="41"/>
      <c r="U154" s="42" t="s">
        <v>223</v>
      </c>
      <c r="V154" s="66">
        <f>P154</f>
        <v>0</v>
      </c>
      <c r="W154" s="38"/>
      <c r="X154" s="41"/>
      <c r="Y154" s="43"/>
      <c r="Z154" s="41">
        <f t="shared" si="84"/>
        <v>0</v>
      </c>
      <c r="AA154" s="41">
        <f t="shared" si="91"/>
        <v>0</v>
      </c>
      <c r="AB154" s="41">
        <f t="shared" si="86"/>
        <v>0</v>
      </c>
      <c r="AC154" s="38"/>
      <c r="AD154" s="44">
        <f t="shared" si="72"/>
        <v>0</v>
      </c>
      <c r="AE154" s="41">
        <f t="shared" si="87"/>
        <v>0</v>
      </c>
      <c r="AF154" s="314"/>
      <c r="AG154" s="45" t="s">
        <v>174</v>
      </c>
      <c r="AH154" s="67"/>
      <c r="AI154" s="67"/>
      <c r="AJ154" s="67"/>
    </row>
    <row r="155" spans="1:36" s="68" customFormat="1" ht="57.75" customHeight="1">
      <c r="A155" s="308"/>
      <c r="B155" s="33" t="s">
        <v>221</v>
      </c>
      <c r="C155" s="50">
        <v>40</v>
      </c>
      <c r="D155" s="50">
        <v>4</v>
      </c>
      <c r="E155" s="51">
        <v>156</v>
      </c>
      <c r="F155" s="34" t="s">
        <v>224</v>
      </c>
      <c r="G155" s="34" t="s">
        <v>99</v>
      </c>
      <c r="H155" s="35">
        <v>243.4</v>
      </c>
      <c r="I155" s="34" t="s">
        <v>49</v>
      </c>
      <c r="J155" s="36" t="s">
        <v>50</v>
      </c>
      <c r="K155" s="37">
        <f t="shared" si="81"/>
        <v>156</v>
      </c>
      <c r="L155" s="38">
        <f t="shared" si="82"/>
        <v>87.4</v>
      </c>
      <c r="M155" s="38"/>
      <c r="N155" s="38"/>
      <c r="O155" s="38"/>
      <c r="P155" s="39">
        <f t="shared" si="73"/>
        <v>243.4</v>
      </c>
      <c r="Q155" s="311"/>
      <c r="R155" s="40">
        <v>60000</v>
      </c>
      <c r="S155" s="41">
        <f t="shared" si="90"/>
        <v>14604000</v>
      </c>
      <c r="T155" s="41"/>
      <c r="U155" s="42" t="s">
        <v>64</v>
      </c>
      <c r="V155" s="66">
        <f t="shared" ref="V155" si="94">P155</f>
        <v>243.4</v>
      </c>
      <c r="W155" s="38" t="s">
        <v>48</v>
      </c>
      <c r="X155" s="41">
        <v>9500</v>
      </c>
      <c r="Y155" s="43">
        <v>1</v>
      </c>
      <c r="Z155" s="41">
        <f t="shared" si="84"/>
        <v>2312300</v>
      </c>
      <c r="AA155" s="41">
        <f t="shared" si="91"/>
        <v>2434000</v>
      </c>
      <c r="AB155" s="41">
        <f t="shared" si="86"/>
        <v>43812000</v>
      </c>
      <c r="AC155" s="38"/>
      <c r="AD155" s="44">
        <f t="shared" si="72"/>
        <v>0</v>
      </c>
      <c r="AE155" s="41">
        <f t="shared" si="87"/>
        <v>63162300</v>
      </c>
      <c r="AF155" s="314"/>
      <c r="AG155" s="45"/>
      <c r="AH155" s="67"/>
      <c r="AI155" s="67"/>
      <c r="AJ155" s="67"/>
    </row>
    <row r="156" spans="1:36" s="68" customFormat="1" ht="57.75" customHeight="1">
      <c r="A156" s="308"/>
      <c r="B156" s="33" t="s">
        <v>221</v>
      </c>
      <c r="C156" s="50"/>
      <c r="D156" s="50"/>
      <c r="E156" s="51"/>
      <c r="F156" s="34"/>
      <c r="G156" s="34"/>
      <c r="H156" s="35"/>
      <c r="I156" s="34"/>
      <c r="J156" s="36"/>
      <c r="K156" s="37"/>
      <c r="L156" s="38"/>
      <c r="M156" s="38"/>
      <c r="N156" s="38"/>
      <c r="O156" s="38"/>
      <c r="P156" s="39">
        <f t="shared" si="73"/>
        <v>0</v>
      </c>
      <c r="Q156" s="311"/>
      <c r="R156" s="40"/>
      <c r="S156" s="41"/>
      <c r="T156" s="41"/>
      <c r="U156" s="42" t="s">
        <v>225</v>
      </c>
      <c r="V156" s="66"/>
      <c r="W156" s="38"/>
      <c r="X156" s="41"/>
      <c r="Y156" s="43"/>
      <c r="Z156" s="41"/>
      <c r="AA156" s="41"/>
      <c r="AB156" s="41"/>
      <c r="AC156" s="38"/>
      <c r="AD156" s="44">
        <f t="shared" si="72"/>
        <v>0</v>
      </c>
      <c r="AE156" s="41">
        <f t="shared" si="87"/>
        <v>0</v>
      </c>
      <c r="AF156" s="314"/>
      <c r="AG156" s="45" t="s">
        <v>174</v>
      </c>
      <c r="AH156" s="67"/>
      <c r="AI156" s="67"/>
      <c r="AJ156" s="67"/>
    </row>
    <row r="157" spans="1:36" s="68" customFormat="1" ht="57.75" customHeight="1">
      <c r="A157" s="308"/>
      <c r="B157" s="33" t="s">
        <v>221</v>
      </c>
      <c r="C157" s="50">
        <v>128</v>
      </c>
      <c r="D157" s="50">
        <v>4</v>
      </c>
      <c r="E157" s="51">
        <v>360</v>
      </c>
      <c r="F157" s="34">
        <v>100</v>
      </c>
      <c r="G157" s="34">
        <v>28</v>
      </c>
      <c r="H157" s="35">
        <v>715.9</v>
      </c>
      <c r="I157" s="34" t="s">
        <v>45</v>
      </c>
      <c r="J157" s="36" t="s">
        <v>46</v>
      </c>
      <c r="K157" s="37">
        <v>360</v>
      </c>
      <c r="L157" s="38">
        <f>374.1-360</f>
        <v>14.100000000000023</v>
      </c>
      <c r="M157" s="38"/>
      <c r="N157" s="38"/>
      <c r="O157" s="38"/>
      <c r="P157" s="39">
        <f t="shared" si="73"/>
        <v>374.1</v>
      </c>
      <c r="Q157" s="311"/>
      <c r="R157" s="40">
        <v>60000</v>
      </c>
      <c r="S157" s="41">
        <f>P157*R157</f>
        <v>22446000</v>
      </c>
      <c r="T157" s="41"/>
      <c r="U157" s="42" t="s">
        <v>64</v>
      </c>
      <c r="V157" s="66">
        <f>P157</f>
        <v>374.1</v>
      </c>
      <c r="W157" s="38" t="s">
        <v>48</v>
      </c>
      <c r="X157" s="41">
        <v>9500</v>
      </c>
      <c r="Y157" s="43">
        <v>1</v>
      </c>
      <c r="Z157" s="41">
        <f t="shared" ref="Z157" si="95">V157*X157*Y157</f>
        <v>3553950</v>
      </c>
      <c r="AA157" s="41">
        <f>P157*10000</f>
        <v>3741000</v>
      </c>
      <c r="AB157" s="41">
        <f t="shared" ref="AB157" si="96">P157*R157*3</f>
        <v>67338000</v>
      </c>
      <c r="AC157" s="38"/>
      <c r="AD157" s="44">
        <f t="shared" si="72"/>
        <v>0</v>
      </c>
      <c r="AE157" s="41">
        <f t="shared" si="87"/>
        <v>97078950</v>
      </c>
      <c r="AF157" s="314"/>
      <c r="AG157" s="45"/>
      <c r="AH157" s="67"/>
      <c r="AI157" s="67"/>
      <c r="AJ157" s="67"/>
    </row>
    <row r="158" spans="1:36" s="68" customFormat="1" ht="57.75" customHeight="1">
      <c r="A158" s="309"/>
      <c r="B158" s="33" t="s">
        <v>221</v>
      </c>
      <c r="C158" s="50"/>
      <c r="D158" s="50"/>
      <c r="E158" s="51"/>
      <c r="F158" s="34"/>
      <c r="G158" s="34"/>
      <c r="H158" s="35"/>
      <c r="I158" s="34"/>
      <c r="J158" s="36"/>
      <c r="K158" s="37"/>
      <c r="L158" s="38"/>
      <c r="M158" s="38"/>
      <c r="N158" s="38"/>
      <c r="O158" s="38"/>
      <c r="P158" s="39">
        <f t="shared" si="73"/>
        <v>0</v>
      </c>
      <c r="Q158" s="312"/>
      <c r="R158" s="40"/>
      <c r="S158" s="41"/>
      <c r="T158" s="41"/>
      <c r="U158" s="42" t="s">
        <v>220</v>
      </c>
      <c r="V158" s="66"/>
      <c r="W158" s="38"/>
      <c r="X158" s="41"/>
      <c r="Y158" s="43"/>
      <c r="Z158" s="41"/>
      <c r="AA158" s="41"/>
      <c r="AB158" s="41"/>
      <c r="AC158" s="38"/>
      <c r="AD158" s="44">
        <f t="shared" si="72"/>
        <v>0</v>
      </c>
      <c r="AE158" s="41">
        <f t="shared" si="87"/>
        <v>0</v>
      </c>
      <c r="AF158" s="315"/>
      <c r="AG158" s="45" t="s">
        <v>174</v>
      </c>
      <c r="AH158" s="67"/>
      <c r="AI158" s="67"/>
      <c r="AJ158" s="67"/>
    </row>
    <row r="159" spans="1:36" s="68" customFormat="1" ht="57.75" customHeight="1">
      <c r="A159" s="307">
        <v>44</v>
      </c>
      <c r="B159" s="33" t="s">
        <v>226</v>
      </c>
      <c r="C159" s="50"/>
      <c r="D159" s="50"/>
      <c r="E159" s="51"/>
      <c r="F159" s="34">
        <v>63</v>
      </c>
      <c r="G159" s="34">
        <v>28</v>
      </c>
      <c r="H159" s="35">
        <v>96.9</v>
      </c>
      <c r="I159" s="34" t="s">
        <v>55</v>
      </c>
      <c r="J159" s="36" t="s">
        <v>227</v>
      </c>
      <c r="K159" s="37"/>
      <c r="L159" s="38">
        <f t="shared" si="82"/>
        <v>96.9</v>
      </c>
      <c r="M159" s="38"/>
      <c r="N159" s="38"/>
      <c r="O159" s="38"/>
      <c r="P159" s="39">
        <f t="shared" si="73"/>
        <v>96.9</v>
      </c>
      <c r="Q159" s="310">
        <f>SUM(P159:P163)</f>
        <v>665.6</v>
      </c>
      <c r="R159" s="40">
        <v>60000</v>
      </c>
      <c r="S159" s="41">
        <f t="shared" ref="S159:S163" si="97">P159*R159</f>
        <v>5814000</v>
      </c>
      <c r="T159" s="41"/>
      <c r="U159" s="42" t="s">
        <v>64</v>
      </c>
      <c r="V159" s="66">
        <f>P159</f>
        <v>96.9</v>
      </c>
      <c r="W159" s="38" t="s">
        <v>48</v>
      </c>
      <c r="X159" s="41">
        <v>9500</v>
      </c>
      <c r="Y159" s="43">
        <v>1</v>
      </c>
      <c r="Z159" s="41">
        <f t="shared" si="84"/>
        <v>920550</v>
      </c>
      <c r="AA159" s="41">
        <f t="shared" ref="AA159:AA163" si="98">P159*10000</f>
        <v>969000</v>
      </c>
      <c r="AB159" s="41">
        <f t="shared" si="86"/>
        <v>17442000</v>
      </c>
      <c r="AC159" s="38">
        <v>1</v>
      </c>
      <c r="AD159" s="44">
        <f t="shared" si="72"/>
        <v>3500000</v>
      </c>
      <c r="AE159" s="41">
        <f t="shared" si="87"/>
        <v>28645550</v>
      </c>
      <c r="AF159" s="313">
        <f>SUM(AE159:AE163)</f>
        <v>180710250</v>
      </c>
      <c r="AG159" s="45"/>
      <c r="AH159" s="67"/>
      <c r="AI159" s="67"/>
      <c r="AJ159" s="67"/>
    </row>
    <row r="160" spans="1:36" s="68" customFormat="1" ht="57.75" customHeight="1">
      <c r="A160" s="308"/>
      <c r="B160" s="33" t="s">
        <v>226</v>
      </c>
      <c r="C160" s="322">
        <v>105</v>
      </c>
      <c r="D160" s="322">
        <v>4</v>
      </c>
      <c r="E160" s="325">
        <v>360</v>
      </c>
      <c r="F160" s="34" t="s">
        <v>228</v>
      </c>
      <c r="G160" s="34" t="s">
        <v>99</v>
      </c>
      <c r="H160" s="35">
        <v>351.7</v>
      </c>
      <c r="I160" s="34" t="s">
        <v>45</v>
      </c>
      <c r="J160" s="36" t="s">
        <v>46</v>
      </c>
      <c r="K160" s="37">
        <v>351.7</v>
      </c>
      <c r="L160" s="38">
        <f t="shared" si="82"/>
        <v>0</v>
      </c>
      <c r="M160" s="38"/>
      <c r="N160" s="38"/>
      <c r="O160" s="38"/>
      <c r="P160" s="39">
        <f t="shared" si="73"/>
        <v>351.7</v>
      </c>
      <c r="Q160" s="311"/>
      <c r="R160" s="40">
        <v>60000</v>
      </c>
      <c r="S160" s="41">
        <f t="shared" si="97"/>
        <v>21102000</v>
      </c>
      <c r="T160" s="41"/>
      <c r="U160" s="42" t="s">
        <v>64</v>
      </c>
      <c r="V160" s="66">
        <f t="shared" ref="V160:V162" si="99">P160</f>
        <v>351.7</v>
      </c>
      <c r="W160" s="38" t="s">
        <v>48</v>
      </c>
      <c r="X160" s="41">
        <v>9500</v>
      </c>
      <c r="Y160" s="43">
        <v>1</v>
      </c>
      <c r="Z160" s="41">
        <f t="shared" si="84"/>
        <v>3341150</v>
      </c>
      <c r="AA160" s="41">
        <f t="shared" si="98"/>
        <v>3517000</v>
      </c>
      <c r="AB160" s="41">
        <f t="shared" si="86"/>
        <v>63306000</v>
      </c>
      <c r="AC160" s="38"/>
      <c r="AD160" s="44">
        <f t="shared" si="72"/>
        <v>0</v>
      </c>
      <c r="AE160" s="41">
        <f t="shared" si="87"/>
        <v>91266150</v>
      </c>
      <c r="AF160" s="314"/>
      <c r="AG160" s="45"/>
      <c r="AH160" s="67"/>
      <c r="AI160" s="67"/>
      <c r="AJ160" s="67"/>
    </row>
    <row r="161" spans="1:36" s="68" customFormat="1" ht="57.75" customHeight="1">
      <c r="A161" s="308"/>
      <c r="B161" s="33" t="s">
        <v>226</v>
      </c>
      <c r="C161" s="323"/>
      <c r="D161" s="323"/>
      <c r="E161" s="326"/>
      <c r="F161" s="34">
        <v>199</v>
      </c>
      <c r="G161" s="34" t="s">
        <v>99</v>
      </c>
      <c r="H161" s="35">
        <v>197.2</v>
      </c>
      <c r="I161" s="34" t="s">
        <v>45</v>
      </c>
      <c r="J161" s="36" t="s">
        <v>46</v>
      </c>
      <c r="K161" s="37">
        <v>4.7</v>
      </c>
      <c r="L161" s="38"/>
      <c r="M161" s="38"/>
      <c r="N161" s="38"/>
      <c r="O161" s="38"/>
      <c r="P161" s="39">
        <f t="shared" si="73"/>
        <v>4.7</v>
      </c>
      <c r="Q161" s="311"/>
      <c r="R161" s="40">
        <v>60000</v>
      </c>
      <c r="S161" s="41">
        <f t="shared" si="97"/>
        <v>282000</v>
      </c>
      <c r="T161" s="41"/>
      <c r="U161" s="42" t="s">
        <v>64</v>
      </c>
      <c r="V161" s="66">
        <f t="shared" si="99"/>
        <v>4.7</v>
      </c>
      <c r="W161" s="38" t="s">
        <v>48</v>
      </c>
      <c r="X161" s="41">
        <v>9500</v>
      </c>
      <c r="Y161" s="43">
        <v>1</v>
      </c>
      <c r="Z161" s="41">
        <f t="shared" si="84"/>
        <v>44650</v>
      </c>
      <c r="AA161" s="41">
        <f t="shared" si="98"/>
        <v>47000</v>
      </c>
      <c r="AB161" s="41">
        <f t="shared" si="86"/>
        <v>846000</v>
      </c>
      <c r="AC161" s="38"/>
      <c r="AD161" s="44">
        <f t="shared" si="72"/>
        <v>0</v>
      </c>
      <c r="AE161" s="41">
        <f t="shared" si="87"/>
        <v>1219650</v>
      </c>
      <c r="AF161" s="314"/>
      <c r="AG161" s="45"/>
      <c r="AH161" s="67"/>
      <c r="AI161" s="67"/>
      <c r="AJ161" s="67"/>
    </row>
    <row r="162" spans="1:36" s="68" customFormat="1" ht="57.75" customHeight="1">
      <c r="A162" s="308"/>
      <c r="B162" s="33" t="s">
        <v>226</v>
      </c>
      <c r="C162" s="324"/>
      <c r="D162" s="324"/>
      <c r="E162" s="327"/>
      <c r="F162" s="34">
        <v>145</v>
      </c>
      <c r="G162" s="34" t="s">
        <v>99</v>
      </c>
      <c r="H162" s="35">
        <v>555.79999999999995</v>
      </c>
      <c r="I162" s="34" t="s">
        <v>45</v>
      </c>
      <c r="J162" s="36" t="s">
        <v>46</v>
      </c>
      <c r="K162" s="37">
        <v>3.6</v>
      </c>
      <c r="L162" s="38"/>
      <c r="M162" s="38"/>
      <c r="N162" s="38"/>
      <c r="O162" s="38"/>
      <c r="P162" s="39">
        <f t="shared" si="73"/>
        <v>3.6</v>
      </c>
      <c r="Q162" s="311"/>
      <c r="R162" s="40">
        <v>60000</v>
      </c>
      <c r="S162" s="41">
        <f t="shared" si="97"/>
        <v>216000</v>
      </c>
      <c r="T162" s="41"/>
      <c r="U162" s="42" t="s">
        <v>64</v>
      </c>
      <c r="V162" s="66">
        <f t="shared" si="99"/>
        <v>3.6</v>
      </c>
      <c r="W162" s="38" t="s">
        <v>48</v>
      </c>
      <c r="X162" s="41">
        <v>9500</v>
      </c>
      <c r="Y162" s="43">
        <v>1</v>
      </c>
      <c r="Z162" s="41">
        <f t="shared" si="84"/>
        <v>34200</v>
      </c>
      <c r="AA162" s="41">
        <f t="shared" si="98"/>
        <v>36000</v>
      </c>
      <c r="AB162" s="41">
        <f t="shared" si="86"/>
        <v>648000</v>
      </c>
      <c r="AC162" s="38"/>
      <c r="AD162" s="44">
        <f t="shared" si="72"/>
        <v>0</v>
      </c>
      <c r="AE162" s="41">
        <f t="shared" si="87"/>
        <v>934200</v>
      </c>
      <c r="AF162" s="314"/>
      <c r="AG162" s="45"/>
      <c r="AH162" s="67"/>
      <c r="AI162" s="67"/>
      <c r="AJ162" s="67"/>
    </row>
    <row r="163" spans="1:36" s="68" customFormat="1" ht="57.75" customHeight="1">
      <c r="A163" s="309"/>
      <c r="B163" s="33" t="s">
        <v>226</v>
      </c>
      <c r="C163" s="50">
        <v>192</v>
      </c>
      <c r="D163" s="50">
        <v>5</v>
      </c>
      <c r="E163" s="51">
        <v>192</v>
      </c>
      <c r="F163" s="34" t="s">
        <v>229</v>
      </c>
      <c r="G163" s="34" t="s">
        <v>99</v>
      </c>
      <c r="H163" s="35">
        <v>208.7</v>
      </c>
      <c r="I163" s="34" t="s">
        <v>49</v>
      </c>
      <c r="J163" s="36" t="s">
        <v>111</v>
      </c>
      <c r="K163" s="37">
        <f t="shared" si="81"/>
        <v>192</v>
      </c>
      <c r="L163" s="38">
        <f t="shared" ref="L163:L166" si="100">H163-K163</f>
        <v>16.699999999999989</v>
      </c>
      <c r="M163" s="38"/>
      <c r="N163" s="38"/>
      <c r="O163" s="38"/>
      <c r="P163" s="39">
        <f t="shared" si="73"/>
        <v>208.7</v>
      </c>
      <c r="Q163" s="312"/>
      <c r="R163" s="40">
        <v>60000</v>
      </c>
      <c r="S163" s="41">
        <f t="shared" si="97"/>
        <v>12522000</v>
      </c>
      <c r="T163" s="41"/>
      <c r="U163" s="42" t="s">
        <v>58</v>
      </c>
      <c r="V163" s="66">
        <f>P163</f>
        <v>208.7</v>
      </c>
      <c r="W163" s="38" t="s">
        <v>48</v>
      </c>
      <c r="X163" s="41">
        <v>31000</v>
      </c>
      <c r="Y163" s="43">
        <v>1</v>
      </c>
      <c r="Z163" s="41">
        <f t="shared" si="84"/>
        <v>6469700</v>
      </c>
      <c r="AA163" s="41">
        <f t="shared" si="98"/>
        <v>2087000</v>
      </c>
      <c r="AB163" s="41">
        <f t="shared" si="86"/>
        <v>37566000</v>
      </c>
      <c r="AC163" s="38"/>
      <c r="AD163" s="44">
        <f t="shared" si="72"/>
        <v>0</v>
      </c>
      <c r="AE163" s="41">
        <f t="shared" si="87"/>
        <v>58644700</v>
      </c>
      <c r="AF163" s="315"/>
      <c r="AG163" s="45"/>
      <c r="AH163" s="67"/>
      <c r="AI163" s="67"/>
      <c r="AJ163" s="67"/>
    </row>
    <row r="164" spans="1:36" s="47" customFormat="1" ht="46.5" customHeight="1">
      <c r="A164" s="307">
        <v>45</v>
      </c>
      <c r="B164" s="33" t="s">
        <v>230</v>
      </c>
      <c r="C164" s="50"/>
      <c r="D164" s="50"/>
      <c r="E164" s="51"/>
      <c r="F164" s="34">
        <v>210</v>
      </c>
      <c r="G164" s="34">
        <v>21</v>
      </c>
      <c r="H164" s="35">
        <v>185.9</v>
      </c>
      <c r="I164" s="34" t="s">
        <v>55</v>
      </c>
      <c r="J164" s="36" t="s">
        <v>54</v>
      </c>
      <c r="K164" s="37"/>
      <c r="L164" s="38"/>
      <c r="M164" s="38">
        <v>185.9</v>
      </c>
      <c r="N164" s="38"/>
      <c r="O164" s="38"/>
      <c r="P164" s="39">
        <f t="shared" si="73"/>
        <v>185.9</v>
      </c>
      <c r="Q164" s="310">
        <f>SUM(P164:P166)</f>
        <v>458.70000000000005</v>
      </c>
      <c r="R164" s="40">
        <v>55000</v>
      </c>
      <c r="S164" s="41">
        <f>P164*R164</f>
        <v>10224500</v>
      </c>
      <c r="T164" s="41"/>
      <c r="U164" s="42" t="s">
        <v>231</v>
      </c>
      <c r="V164" s="60">
        <v>37</v>
      </c>
      <c r="W164" s="38" t="s">
        <v>52</v>
      </c>
      <c r="X164" s="41">
        <v>123000</v>
      </c>
      <c r="Y164" s="43">
        <v>1</v>
      </c>
      <c r="Z164" s="41">
        <f>V164*X164*Y164</f>
        <v>4551000</v>
      </c>
      <c r="AA164" s="41">
        <f>P164*7000</f>
        <v>1301300</v>
      </c>
      <c r="AB164" s="41">
        <f>P164*R164*3</f>
        <v>30673500</v>
      </c>
      <c r="AC164" s="38">
        <v>1</v>
      </c>
      <c r="AD164" s="44">
        <f t="shared" si="72"/>
        <v>3500000</v>
      </c>
      <c r="AE164" s="41">
        <f t="shared" si="87"/>
        <v>50250300</v>
      </c>
      <c r="AF164" s="313">
        <f>SUM(AE164:AE166)</f>
        <v>121041900</v>
      </c>
      <c r="AG164" s="45"/>
      <c r="AH164" s="46"/>
      <c r="AI164" s="46"/>
      <c r="AJ164" s="46"/>
    </row>
    <row r="165" spans="1:36" s="47" customFormat="1" ht="56.25" customHeight="1">
      <c r="A165" s="308"/>
      <c r="B165" s="33" t="s">
        <v>230</v>
      </c>
      <c r="C165" s="50">
        <v>4</v>
      </c>
      <c r="D165" s="50">
        <v>90</v>
      </c>
      <c r="E165" s="51">
        <v>196</v>
      </c>
      <c r="F165" s="34">
        <v>69</v>
      </c>
      <c r="G165" s="34">
        <v>28</v>
      </c>
      <c r="H165" s="35">
        <v>181.7</v>
      </c>
      <c r="I165" s="34" t="s">
        <v>55</v>
      </c>
      <c r="J165" s="36" t="s">
        <v>46</v>
      </c>
      <c r="K165" s="37">
        <v>181.7</v>
      </c>
      <c r="L165" s="38"/>
      <c r="M165" s="38"/>
      <c r="N165" s="38"/>
      <c r="O165" s="38"/>
      <c r="P165" s="39">
        <f t="shared" si="73"/>
        <v>181.7</v>
      </c>
      <c r="Q165" s="311"/>
      <c r="R165" s="40">
        <v>60000</v>
      </c>
      <c r="S165" s="41">
        <f t="shared" ref="S165:S174" si="101">P165*R165</f>
        <v>10902000</v>
      </c>
      <c r="T165" s="41"/>
      <c r="U165" s="42" t="s">
        <v>64</v>
      </c>
      <c r="V165" s="66">
        <f t="shared" ref="V165:V227" si="102">P165</f>
        <v>181.7</v>
      </c>
      <c r="W165" s="38" t="s">
        <v>48</v>
      </c>
      <c r="X165" s="41">
        <v>9500</v>
      </c>
      <c r="Y165" s="43">
        <v>1</v>
      </c>
      <c r="Z165" s="41">
        <f t="shared" si="84"/>
        <v>1726150</v>
      </c>
      <c r="AA165" s="41">
        <f t="shared" ref="AA165:AA174" si="103">P165*10000</f>
        <v>1817000</v>
      </c>
      <c r="AB165" s="41">
        <f t="shared" si="86"/>
        <v>32706000</v>
      </c>
      <c r="AC165" s="38"/>
      <c r="AD165" s="44">
        <f t="shared" si="72"/>
        <v>0</v>
      </c>
      <c r="AE165" s="41">
        <f t="shared" si="87"/>
        <v>47151150</v>
      </c>
      <c r="AF165" s="314"/>
      <c r="AG165" s="45"/>
      <c r="AH165" s="46"/>
      <c r="AI165" s="46"/>
      <c r="AJ165" s="46"/>
    </row>
    <row r="166" spans="1:36" s="47" customFormat="1" ht="54.75" customHeight="1">
      <c r="A166" s="309"/>
      <c r="B166" s="33" t="s">
        <v>230</v>
      </c>
      <c r="C166" s="50"/>
      <c r="D166" s="50"/>
      <c r="E166" s="51"/>
      <c r="F166" s="34">
        <v>28</v>
      </c>
      <c r="G166" s="34">
        <v>28</v>
      </c>
      <c r="H166" s="35">
        <v>91.1</v>
      </c>
      <c r="I166" s="34" t="s">
        <v>45</v>
      </c>
      <c r="J166" s="36" t="s">
        <v>60</v>
      </c>
      <c r="K166" s="37"/>
      <c r="L166" s="38">
        <f t="shared" si="100"/>
        <v>91.1</v>
      </c>
      <c r="M166" s="38"/>
      <c r="N166" s="38"/>
      <c r="O166" s="38"/>
      <c r="P166" s="39">
        <f t="shared" si="73"/>
        <v>91.1</v>
      </c>
      <c r="Q166" s="312"/>
      <c r="R166" s="40">
        <v>60000</v>
      </c>
      <c r="S166" s="41">
        <f t="shared" si="101"/>
        <v>5466000</v>
      </c>
      <c r="T166" s="41"/>
      <c r="U166" s="42" t="s">
        <v>64</v>
      </c>
      <c r="V166" s="66">
        <f t="shared" si="102"/>
        <v>91.1</v>
      </c>
      <c r="W166" s="38" t="s">
        <v>232</v>
      </c>
      <c r="X166" s="41">
        <v>9500</v>
      </c>
      <c r="Y166" s="43">
        <v>1</v>
      </c>
      <c r="Z166" s="41">
        <f t="shared" si="84"/>
        <v>865450</v>
      </c>
      <c r="AA166" s="41">
        <f t="shared" si="103"/>
        <v>911000</v>
      </c>
      <c r="AB166" s="41">
        <f t="shared" si="86"/>
        <v>16398000</v>
      </c>
      <c r="AC166" s="38"/>
      <c r="AD166" s="44">
        <f t="shared" si="72"/>
        <v>0</v>
      </c>
      <c r="AE166" s="41">
        <f t="shared" si="87"/>
        <v>23640450</v>
      </c>
      <c r="AF166" s="315"/>
      <c r="AG166" s="45"/>
      <c r="AH166" s="46"/>
      <c r="AI166" s="46"/>
      <c r="AJ166" s="46"/>
    </row>
    <row r="167" spans="1:36" s="47" customFormat="1" ht="57" customHeight="1">
      <c r="A167" s="32">
        <v>46</v>
      </c>
      <c r="B167" s="33" t="s">
        <v>233</v>
      </c>
      <c r="C167" s="50">
        <v>215</v>
      </c>
      <c r="D167" s="50">
        <v>5</v>
      </c>
      <c r="E167" s="51">
        <v>120</v>
      </c>
      <c r="F167" s="79">
        <v>85</v>
      </c>
      <c r="G167" s="79">
        <v>28</v>
      </c>
      <c r="H167" s="79">
        <v>124.7</v>
      </c>
      <c r="I167" s="79" t="s">
        <v>49</v>
      </c>
      <c r="J167" s="72" t="s">
        <v>50</v>
      </c>
      <c r="K167" s="37">
        <v>120</v>
      </c>
      <c r="L167" s="38">
        <f>H167-E167</f>
        <v>4.7000000000000028</v>
      </c>
      <c r="M167" s="38"/>
      <c r="N167" s="38"/>
      <c r="O167" s="38"/>
      <c r="P167" s="39">
        <f t="shared" si="73"/>
        <v>124.7</v>
      </c>
      <c r="Q167" s="63">
        <f>P167</f>
        <v>124.7</v>
      </c>
      <c r="R167" s="40">
        <v>60000</v>
      </c>
      <c r="S167" s="41">
        <f t="shared" si="101"/>
        <v>7482000</v>
      </c>
      <c r="T167" s="41"/>
      <c r="U167" s="42" t="s">
        <v>234</v>
      </c>
      <c r="V167" s="66">
        <f t="shared" si="102"/>
        <v>124.7</v>
      </c>
      <c r="W167" s="38" t="s">
        <v>48</v>
      </c>
      <c r="X167" s="41">
        <v>43000</v>
      </c>
      <c r="Y167" s="43">
        <v>1</v>
      </c>
      <c r="Z167" s="41">
        <f t="shared" si="84"/>
        <v>5362100</v>
      </c>
      <c r="AA167" s="41">
        <f t="shared" si="103"/>
        <v>1247000</v>
      </c>
      <c r="AB167" s="41">
        <f t="shared" si="86"/>
        <v>22446000</v>
      </c>
      <c r="AC167" s="38"/>
      <c r="AD167" s="44">
        <f t="shared" si="72"/>
        <v>0</v>
      </c>
      <c r="AE167" s="41">
        <f t="shared" si="87"/>
        <v>36537100</v>
      </c>
      <c r="AF167" s="64">
        <f>AE167</f>
        <v>36537100</v>
      </c>
      <c r="AG167" s="45"/>
      <c r="AH167" s="46"/>
      <c r="AI167" s="46"/>
      <c r="AJ167" s="46"/>
    </row>
    <row r="168" spans="1:36" s="68" customFormat="1" ht="56.25" customHeight="1">
      <c r="A168" s="307">
        <v>47</v>
      </c>
      <c r="B168" s="33" t="s">
        <v>235</v>
      </c>
      <c r="C168" s="50">
        <v>192</v>
      </c>
      <c r="D168" s="50">
        <v>5</v>
      </c>
      <c r="E168" s="51">
        <v>168</v>
      </c>
      <c r="F168" s="320" t="s">
        <v>236</v>
      </c>
      <c r="G168" s="320">
        <v>28</v>
      </c>
      <c r="H168" s="328">
        <v>226.7</v>
      </c>
      <c r="I168" s="320" t="s">
        <v>49</v>
      </c>
      <c r="J168" s="322" t="s">
        <v>57</v>
      </c>
      <c r="K168" s="37">
        <v>168</v>
      </c>
      <c r="L168" s="38">
        <f>226.7-168</f>
        <v>58.699999999999989</v>
      </c>
      <c r="M168" s="38"/>
      <c r="N168" s="38"/>
      <c r="O168" s="38"/>
      <c r="P168" s="39">
        <f t="shared" si="73"/>
        <v>226.7</v>
      </c>
      <c r="Q168" s="310">
        <f>SUM(P168:P170)</f>
        <v>428.9</v>
      </c>
      <c r="R168" s="40">
        <v>60000</v>
      </c>
      <c r="S168" s="41">
        <f t="shared" si="101"/>
        <v>13602000</v>
      </c>
      <c r="T168" s="41"/>
      <c r="U168" s="42" t="s">
        <v>47</v>
      </c>
      <c r="V168" s="66">
        <f t="shared" si="102"/>
        <v>226.7</v>
      </c>
      <c r="W168" s="38" t="s">
        <v>48</v>
      </c>
      <c r="X168" s="41">
        <v>9500</v>
      </c>
      <c r="Y168" s="43">
        <v>1</v>
      </c>
      <c r="Z168" s="41">
        <f t="shared" si="84"/>
        <v>2153650</v>
      </c>
      <c r="AA168" s="41">
        <f t="shared" si="103"/>
        <v>2267000</v>
      </c>
      <c r="AB168" s="41">
        <f t="shared" si="86"/>
        <v>40806000</v>
      </c>
      <c r="AC168" s="38">
        <v>1</v>
      </c>
      <c r="AD168" s="44">
        <f t="shared" si="72"/>
        <v>3500000</v>
      </c>
      <c r="AE168" s="41">
        <f t="shared" si="87"/>
        <v>62328650</v>
      </c>
      <c r="AF168" s="317">
        <f>SUM(AE168:AE170)</f>
        <v>119713010</v>
      </c>
      <c r="AG168" s="81">
        <f>Q168*40000</f>
        <v>17156000</v>
      </c>
      <c r="AH168" s="67"/>
      <c r="AI168" s="67"/>
      <c r="AJ168" s="67"/>
    </row>
    <row r="169" spans="1:36" s="68" customFormat="1" ht="56.25" customHeight="1">
      <c r="A169" s="308"/>
      <c r="B169" s="33" t="s">
        <v>235</v>
      </c>
      <c r="C169" s="50">
        <v>192</v>
      </c>
      <c r="D169" s="50">
        <v>5</v>
      </c>
      <c r="E169" s="51">
        <v>168</v>
      </c>
      <c r="F169" s="321"/>
      <c r="G169" s="321"/>
      <c r="H169" s="329"/>
      <c r="I169" s="321"/>
      <c r="J169" s="324"/>
      <c r="K169" s="37"/>
      <c r="L169" s="38"/>
      <c r="M169" s="38"/>
      <c r="N169" s="38"/>
      <c r="O169" s="38"/>
      <c r="P169" s="39">
        <f t="shared" si="73"/>
        <v>0</v>
      </c>
      <c r="Q169" s="311"/>
      <c r="R169" s="40">
        <v>60000</v>
      </c>
      <c r="S169" s="41">
        <f t="shared" si="101"/>
        <v>0</v>
      </c>
      <c r="T169" s="41"/>
      <c r="U169" s="42" t="s">
        <v>237</v>
      </c>
      <c r="V169" s="66">
        <f t="shared" si="102"/>
        <v>0</v>
      </c>
      <c r="W169" s="38"/>
      <c r="X169" s="41"/>
      <c r="Y169" s="43"/>
      <c r="Z169" s="41">
        <f t="shared" si="84"/>
        <v>0</v>
      </c>
      <c r="AA169" s="41">
        <f t="shared" si="103"/>
        <v>0</v>
      </c>
      <c r="AB169" s="41">
        <f t="shared" si="86"/>
        <v>0</v>
      </c>
      <c r="AC169" s="38"/>
      <c r="AD169" s="44">
        <f t="shared" si="72"/>
        <v>0</v>
      </c>
      <c r="AE169" s="41">
        <f t="shared" si="87"/>
        <v>0</v>
      </c>
      <c r="AF169" s="317"/>
      <c r="AG169" s="45" t="s">
        <v>113</v>
      </c>
      <c r="AH169" s="67"/>
      <c r="AI169" s="67"/>
      <c r="AJ169" s="67"/>
    </row>
    <row r="170" spans="1:36" s="68" customFormat="1" ht="56.25" customHeight="1">
      <c r="A170" s="309"/>
      <c r="B170" s="33" t="s">
        <v>235</v>
      </c>
      <c r="C170" s="269">
        <v>183</v>
      </c>
      <c r="D170" s="269">
        <v>5</v>
      </c>
      <c r="E170" s="172">
        <v>384</v>
      </c>
      <c r="F170" s="34" t="s">
        <v>238</v>
      </c>
      <c r="G170" s="34">
        <v>28</v>
      </c>
      <c r="H170" s="35">
        <v>202.2</v>
      </c>
      <c r="I170" s="34" t="s">
        <v>49</v>
      </c>
      <c r="J170" s="36" t="s">
        <v>57</v>
      </c>
      <c r="K170" s="37">
        <v>202.2</v>
      </c>
      <c r="L170" s="38"/>
      <c r="M170" s="38"/>
      <c r="N170" s="38"/>
      <c r="O170" s="38"/>
      <c r="P170" s="39">
        <f t="shared" si="73"/>
        <v>202.2</v>
      </c>
      <c r="Q170" s="311"/>
      <c r="R170" s="40">
        <v>60000</v>
      </c>
      <c r="S170" s="41">
        <f t="shared" si="101"/>
        <v>12132000</v>
      </c>
      <c r="T170" s="41"/>
      <c r="U170" s="42" t="s">
        <v>239</v>
      </c>
      <c r="V170" s="66">
        <f t="shared" si="102"/>
        <v>202.2</v>
      </c>
      <c r="W170" s="38" t="s">
        <v>48</v>
      </c>
      <c r="X170" s="41">
        <v>33800</v>
      </c>
      <c r="Y170" s="43">
        <v>1</v>
      </c>
      <c r="Z170" s="41">
        <f t="shared" si="84"/>
        <v>6834360</v>
      </c>
      <c r="AA170" s="41">
        <f t="shared" si="103"/>
        <v>2022000</v>
      </c>
      <c r="AB170" s="41">
        <f t="shared" si="86"/>
        <v>36396000</v>
      </c>
      <c r="AC170" s="38"/>
      <c r="AD170" s="44">
        <f t="shared" si="72"/>
        <v>0</v>
      </c>
      <c r="AE170" s="41">
        <f t="shared" si="87"/>
        <v>57384360</v>
      </c>
      <c r="AF170" s="317"/>
      <c r="AG170" s="45"/>
      <c r="AH170" s="67"/>
      <c r="AI170" s="67"/>
      <c r="AJ170" s="67"/>
    </row>
    <row r="171" spans="1:36" s="68" customFormat="1" ht="77.25" customHeight="1">
      <c r="A171" s="307">
        <v>48</v>
      </c>
      <c r="B171" s="33" t="s">
        <v>240</v>
      </c>
      <c r="C171" s="269">
        <v>183</v>
      </c>
      <c r="D171" s="269">
        <v>5</v>
      </c>
      <c r="E171" s="172">
        <v>384</v>
      </c>
      <c r="F171" s="34">
        <v>456</v>
      </c>
      <c r="G171" s="34">
        <v>28</v>
      </c>
      <c r="H171" s="35">
        <v>217.5</v>
      </c>
      <c r="I171" s="34" t="s">
        <v>49</v>
      </c>
      <c r="J171" s="36" t="s">
        <v>57</v>
      </c>
      <c r="K171" s="37">
        <f>384-202.2</f>
        <v>181.8</v>
      </c>
      <c r="L171" s="38">
        <f>217.5-181.8</f>
        <v>35.699999999999989</v>
      </c>
      <c r="M171" s="38"/>
      <c r="N171" s="38"/>
      <c r="O171" s="38"/>
      <c r="P171" s="39">
        <f t="shared" si="73"/>
        <v>217.5</v>
      </c>
      <c r="Q171" s="316">
        <f>SUM(P171:P173)</f>
        <v>555.79999999999995</v>
      </c>
      <c r="R171" s="40">
        <v>60000</v>
      </c>
      <c r="S171" s="41">
        <f t="shared" si="101"/>
        <v>13050000</v>
      </c>
      <c r="T171" s="41"/>
      <c r="U171" s="42" t="s">
        <v>239</v>
      </c>
      <c r="V171" s="66">
        <f t="shared" si="102"/>
        <v>217.5</v>
      </c>
      <c r="W171" s="38" t="s">
        <v>48</v>
      </c>
      <c r="X171" s="41">
        <v>33800</v>
      </c>
      <c r="Y171" s="43">
        <v>1</v>
      </c>
      <c r="Z171" s="41">
        <f t="shared" si="84"/>
        <v>7351500</v>
      </c>
      <c r="AA171" s="41">
        <f t="shared" si="103"/>
        <v>2175000</v>
      </c>
      <c r="AB171" s="41">
        <f t="shared" si="86"/>
        <v>39150000</v>
      </c>
      <c r="AC171" s="38">
        <v>1</v>
      </c>
      <c r="AD171" s="44">
        <f t="shared" si="72"/>
        <v>3500000</v>
      </c>
      <c r="AE171" s="41">
        <f t="shared" si="87"/>
        <v>65226500</v>
      </c>
      <c r="AF171" s="314">
        <f>SUM(AE171:AE173)</f>
        <v>158459100</v>
      </c>
      <c r="AG171" s="45" t="s">
        <v>241</v>
      </c>
      <c r="AH171" s="67"/>
      <c r="AI171" s="67"/>
      <c r="AJ171" s="67"/>
    </row>
    <row r="172" spans="1:36" s="68" customFormat="1" ht="77.25" customHeight="1">
      <c r="A172" s="308"/>
      <c r="B172" s="33" t="s">
        <v>240</v>
      </c>
      <c r="C172" s="50">
        <v>191</v>
      </c>
      <c r="D172" s="50">
        <v>5</v>
      </c>
      <c r="E172" s="51">
        <v>72</v>
      </c>
      <c r="F172" s="34">
        <v>220</v>
      </c>
      <c r="G172" s="34">
        <v>28</v>
      </c>
      <c r="H172" s="35">
        <v>175.8</v>
      </c>
      <c r="I172" s="34" t="s">
        <v>45</v>
      </c>
      <c r="J172" s="36" t="s">
        <v>242</v>
      </c>
      <c r="K172" s="37">
        <f>E172</f>
        <v>72</v>
      </c>
      <c r="L172" s="38">
        <f>175.8-72</f>
        <v>103.80000000000001</v>
      </c>
      <c r="M172" s="38"/>
      <c r="N172" s="38"/>
      <c r="O172" s="38"/>
      <c r="P172" s="39">
        <f t="shared" si="73"/>
        <v>175.8</v>
      </c>
      <c r="Q172" s="316"/>
      <c r="R172" s="40">
        <v>60000</v>
      </c>
      <c r="S172" s="41">
        <f t="shared" si="101"/>
        <v>10548000</v>
      </c>
      <c r="T172" s="41"/>
      <c r="U172" s="42" t="s">
        <v>47</v>
      </c>
      <c r="V172" s="66">
        <f t="shared" si="102"/>
        <v>175.8</v>
      </c>
      <c r="W172" s="38" t="s">
        <v>48</v>
      </c>
      <c r="X172" s="41">
        <v>9500</v>
      </c>
      <c r="Y172" s="43">
        <v>1</v>
      </c>
      <c r="Z172" s="41">
        <f t="shared" si="84"/>
        <v>1670100</v>
      </c>
      <c r="AA172" s="41">
        <f t="shared" si="103"/>
        <v>1758000</v>
      </c>
      <c r="AB172" s="41">
        <f t="shared" si="86"/>
        <v>31644000</v>
      </c>
      <c r="AC172" s="38"/>
      <c r="AD172" s="44">
        <f t="shared" si="72"/>
        <v>0</v>
      </c>
      <c r="AE172" s="41">
        <f t="shared" si="87"/>
        <v>45620100</v>
      </c>
      <c r="AF172" s="314"/>
      <c r="AG172" s="81">
        <f>Q171*40000</f>
        <v>22232000</v>
      </c>
      <c r="AH172" s="67"/>
      <c r="AI172" s="67"/>
      <c r="AJ172" s="67"/>
    </row>
    <row r="173" spans="1:36" s="68" customFormat="1" ht="77.25" customHeight="1">
      <c r="A173" s="309"/>
      <c r="B173" s="33" t="s">
        <v>240</v>
      </c>
      <c r="C173" s="50">
        <v>119</v>
      </c>
      <c r="D173" s="50">
        <v>4</v>
      </c>
      <c r="E173" s="51">
        <v>192</v>
      </c>
      <c r="F173" s="34">
        <v>277</v>
      </c>
      <c r="G173" s="34">
        <v>28</v>
      </c>
      <c r="H173" s="35">
        <v>162.5</v>
      </c>
      <c r="I173" s="34" t="s">
        <v>49</v>
      </c>
      <c r="J173" s="36" t="s">
        <v>63</v>
      </c>
      <c r="K173" s="37">
        <v>162.5</v>
      </c>
      <c r="L173" s="38"/>
      <c r="M173" s="38"/>
      <c r="N173" s="38"/>
      <c r="O173" s="38"/>
      <c r="P173" s="39">
        <f t="shared" si="73"/>
        <v>162.5</v>
      </c>
      <c r="Q173" s="316"/>
      <c r="R173" s="40">
        <v>60000</v>
      </c>
      <c r="S173" s="41">
        <f t="shared" si="101"/>
        <v>9750000</v>
      </c>
      <c r="T173" s="41"/>
      <c r="U173" s="42" t="s">
        <v>173</v>
      </c>
      <c r="V173" s="66">
        <f t="shared" si="102"/>
        <v>162.5</v>
      </c>
      <c r="W173" s="38" t="s">
        <v>48</v>
      </c>
      <c r="X173" s="41">
        <v>43000</v>
      </c>
      <c r="Y173" s="43">
        <v>1</v>
      </c>
      <c r="Z173" s="41">
        <f t="shared" si="84"/>
        <v>6987500</v>
      </c>
      <c r="AA173" s="41">
        <f t="shared" si="103"/>
        <v>1625000</v>
      </c>
      <c r="AB173" s="41">
        <f t="shared" si="86"/>
        <v>29250000</v>
      </c>
      <c r="AC173" s="38"/>
      <c r="AD173" s="44">
        <f t="shared" si="72"/>
        <v>0</v>
      </c>
      <c r="AE173" s="41">
        <f t="shared" si="87"/>
        <v>47612500</v>
      </c>
      <c r="AF173" s="315"/>
      <c r="AG173" s="45"/>
      <c r="AH173" s="67"/>
      <c r="AI173" s="67"/>
      <c r="AJ173" s="67"/>
    </row>
    <row r="174" spans="1:36" s="47" customFormat="1" ht="57" customHeight="1">
      <c r="A174" s="307">
        <v>49</v>
      </c>
      <c r="B174" s="33" t="s">
        <v>243</v>
      </c>
      <c r="C174" s="50">
        <v>205</v>
      </c>
      <c r="D174" s="50">
        <v>5</v>
      </c>
      <c r="E174" s="51">
        <v>264</v>
      </c>
      <c r="F174" s="34">
        <v>89</v>
      </c>
      <c r="G174" s="34">
        <v>28</v>
      </c>
      <c r="H174" s="35">
        <v>275.3</v>
      </c>
      <c r="I174" s="34" t="s">
        <v>49</v>
      </c>
      <c r="J174" s="36" t="s">
        <v>50</v>
      </c>
      <c r="K174" s="37">
        <f>E174</f>
        <v>264</v>
      </c>
      <c r="L174" s="38">
        <f>H174-K174</f>
        <v>11.300000000000011</v>
      </c>
      <c r="M174" s="38"/>
      <c r="N174" s="38"/>
      <c r="O174" s="38"/>
      <c r="P174" s="39">
        <f t="shared" si="73"/>
        <v>275.3</v>
      </c>
      <c r="Q174" s="310">
        <f>SUM(P174:P176)</f>
        <v>407.5</v>
      </c>
      <c r="R174" s="40">
        <v>60000</v>
      </c>
      <c r="S174" s="41">
        <f t="shared" si="101"/>
        <v>16518000</v>
      </c>
      <c r="T174" s="41"/>
      <c r="U174" s="42" t="s">
        <v>51</v>
      </c>
      <c r="V174" s="60">
        <v>61</v>
      </c>
      <c r="W174" s="38" t="s">
        <v>52</v>
      </c>
      <c r="X174" s="41">
        <v>123000</v>
      </c>
      <c r="Y174" s="43">
        <v>0.8</v>
      </c>
      <c r="Z174" s="41">
        <f t="shared" si="84"/>
        <v>6002400</v>
      </c>
      <c r="AA174" s="41">
        <f t="shared" si="103"/>
        <v>2753000</v>
      </c>
      <c r="AB174" s="41">
        <f t="shared" si="86"/>
        <v>49554000</v>
      </c>
      <c r="AC174" s="38"/>
      <c r="AD174" s="44">
        <f t="shared" si="72"/>
        <v>0</v>
      </c>
      <c r="AE174" s="41">
        <f t="shared" si="87"/>
        <v>74827400</v>
      </c>
      <c r="AF174" s="313">
        <f>SUM(AE174:AE176)</f>
        <v>107904800</v>
      </c>
      <c r="AG174" s="45" t="s">
        <v>244</v>
      </c>
      <c r="AH174" s="46"/>
      <c r="AI174" s="46"/>
      <c r="AJ174" s="46"/>
    </row>
    <row r="175" spans="1:36" s="47" customFormat="1" ht="54" customHeight="1">
      <c r="A175" s="308"/>
      <c r="B175" s="33" t="s">
        <v>243</v>
      </c>
      <c r="C175" s="50"/>
      <c r="D175" s="50"/>
      <c r="E175" s="51"/>
      <c r="F175" s="34">
        <v>89</v>
      </c>
      <c r="G175" s="34">
        <v>28</v>
      </c>
      <c r="H175" s="35">
        <v>275.3</v>
      </c>
      <c r="I175" s="34" t="s">
        <v>49</v>
      </c>
      <c r="J175" s="36" t="s">
        <v>50</v>
      </c>
      <c r="K175" s="37"/>
      <c r="L175" s="38"/>
      <c r="M175" s="38"/>
      <c r="N175" s="38"/>
      <c r="O175" s="38"/>
      <c r="P175" s="39">
        <f t="shared" si="73"/>
        <v>0</v>
      </c>
      <c r="Q175" s="311"/>
      <c r="R175" s="40"/>
      <c r="S175" s="41"/>
      <c r="T175" s="41"/>
      <c r="U175" s="42" t="s">
        <v>51</v>
      </c>
      <c r="V175" s="60">
        <v>9</v>
      </c>
      <c r="W175" s="38" t="s">
        <v>52</v>
      </c>
      <c r="X175" s="41">
        <v>123000</v>
      </c>
      <c r="Y175" s="43">
        <v>0</v>
      </c>
      <c r="Z175" s="41">
        <f t="shared" si="84"/>
        <v>0</v>
      </c>
      <c r="AA175" s="41"/>
      <c r="AB175" s="41"/>
      <c r="AC175" s="38"/>
      <c r="AD175" s="44">
        <f t="shared" si="72"/>
        <v>0</v>
      </c>
      <c r="AE175" s="41">
        <f t="shared" si="87"/>
        <v>0</v>
      </c>
      <c r="AF175" s="314"/>
      <c r="AG175" s="45" t="s">
        <v>53</v>
      </c>
      <c r="AH175" s="46"/>
      <c r="AI175" s="46"/>
      <c r="AJ175" s="46"/>
    </row>
    <row r="176" spans="1:36" s="68" customFormat="1" ht="46.5" customHeight="1">
      <c r="A176" s="309"/>
      <c r="B176" s="33" t="s">
        <v>243</v>
      </c>
      <c r="C176" s="50"/>
      <c r="D176" s="50"/>
      <c r="E176" s="51"/>
      <c r="F176" s="70" t="s">
        <v>245</v>
      </c>
      <c r="G176" s="48" t="s">
        <v>99</v>
      </c>
      <c r="H176" s="71">
        <v>132.19999999999999</v>
      </c>
      <c r="I176" s="34" t="s">
        <v>49</v>
      </c>
      <c r="J176" s="36" t="s">
        <v>50</v>
      </c>
      <c r="K176" s="37"/>
      <c r="L176" s="38"/>
      <c r="M176" s="38">
        <v>132.19999999999999</v>
      </c>
      <c r="N176" s="38"/>
      <c r="O176" s="38"/>
      <c r="P176" s="39">
        <f t="shared" si="73"/>
        <v>132.19999999999999</v>
      </c>
      <c r="Q176" s="312"/>
      <c r="R176" s="40">
        <v>55000</v>
      </c>
      <c r="S176" s="41">
        <f>P176*R176</f>
        <v>7270999.9999999991</v>
      </c>
      <c r="T176" s="41"/>
      <c r="U176" s="42" t="s">
        <v>246</v>
      </c>
      <c r="V176" s="66">
        <v>26</v>
      </c>
      <c r="W176" s="38" t="s">
        <v>52</v>
      </c>
      <c r="X176" s="41">
        <v>118000</v>
      </c>
      <c r="Y176" s="43">
        <v>1</v>
      </c>
      <c r="Z176" s="41">
        <f t="shared" si="84"/>
        <v>3068000</v>
      </c>
      <c r="AA176" s="41">
        <f>P176*7000</f>
        <v>925399.99999999988</v>
      </c>
      <c r="AB176" s="41">
        <f>P176*R176*3</f>
        <v>21812999.999999996</v>
      </c>
      <c r="AC176" s="38"/>
      <c r="AD176" s="44">
        <f t="shared" si="72"/>
        <v>0</v>
      </c>
      <c r="AE176" s="41">
        <f t="shared" si="87"/>
        <v>33077399.999999996</v>
      </c>
      <c r="AF176" s="315"/>
      <c r="AG176" s="45">
        <f>74827400+33077400</f>
        <v>107904800</v>
      </c>
      <c r="AH176" s="67"/>
      <c r="AI176" s="67"/>
      <c r="AJ176" s="67"/>
    </row>
    <row r="177" spans="1:36" s="47" customFormat="1" ht="50.25" customHeight="1">
      <c r="A177" s="307">
        <v>50</v>
      </c>
      <c r="B177" s="33" t="s">
        <v>247</v>
      </c>
      <c r="C177" s="50">
        <v>211</v>
      </c>
      <c r="D177" s="50">
        <v>4</v>
      </c>
      <c r="E177" s="51">
        <v>300</v>
      </c>
      <c r="F177" s="34">
        <v>529</v>
      </c>
      <c r="G177" s="34">
        <v>28</v>
      </c>
      <c r="H177" s="35">
        <v>331.3</v>
      </c>
      <c r="I177" s="34" t="s">
        <v>49</v>
      </c>
      <c r="J177" s="36" t="s">
        <v>57</v>
      </c>
      <c r="K177" s="37">
        <v>300</v>
      </c>
      <c r="L177" s="38"/>
      <c r="M177" s="38"/>
      <c r="N177" s="38"/>
      <c r="O177" s="38"/>
      <c r="P177" s="39">
        <f t="shared" si="73"/>
        <v>300</v>
      </c>
      <c r="Q177" s="164">
        <f t="shared" ref="Q177" si="104">P177</f>
        <v>300</v>
      </c>
      <c r="R177" s="40">
        <v>60000</v>
      </c>
      <c r="S177" s="41">
        <f>P177*R177</f>
        <v>18000000</v>
      </c>
      <c r="T177" s="41"/>
      <c r="U177" s="42" t="s">
        <v>248</v>
      </c>
      <c r="V177" s="60">
        <v>30</v>
      </c>
      <c r="W177" s="38" t="s">
        <v>52</v>
      </c>
      <c r="X177" s="41">
        <v>300000</v>
      </c>
      <c r="Y177" s="43">
        <v>0.8</v>
      </c>
      <c r="Z177" s="41">
        <f t="shared" si="84"/>
        <v>7200000</v>
      </c>
      <c r="AA177" s="41">
        <f>P177*10000</f>
        <v>3000000</v>
      </c>
      <c r="AB177" s="41">
        <f t="shared" ref="AB177:AB181" si="105">P177*R177*3</f>
        <v>54000000</v>
      </c>
      <c r="AC177" s="38"/>
      <c r="AD177" s="44">
        <f t="shared" si="72"/>
        <v>0</v>
      </c>
      <c r="AE177" s="41">
        <f t="shared" si="87"/>
        <v>82200000</v>
      </c>
      <c r="AF177" s="313">
        <f>SUM(AE177:AE179)</f>
        <v>83320800</v>
      </c>
      <c r="AG177" s="45" t="s">
        <v>249</v>
      </c>
      <c r="AH177" s="46"/>
      <c r="AI177" s="46"/>
      <c r="AJ177" s="46"/>
    </row>
    <row r="178" spans="1:36" s="47" customFormat="1" ht="50.25" customHeight="1">
      <c r="A178" s="308"/>
      <c r="B178" s="33" t="s">
        <v>247</v>
      </c>
      <c r="C178" s="50"/>
      <c r="D178" s="50"/>
      <c r="E178" s="51"/>
      <c r="F178" s="34">
        <v>529</v>
      </c>
      <c r="G178" s="34">
        <v>28</v>
      </c>
      <c r="H178" s="35">
        <v>331.3</v>
      </c>
      <c r="I178" s="34" t="s">
        <v>49</v>
      </c>
      <c r="J178" s="36" t="s">
        <v>57</v>
      </c>
      <c r="K178" s="37"/>
      <c r="L178" s="38"/>
      <c r="M178" s="38"/>
      <c r="N178" s="38"/>
      <c r="O178" s="38"/>
      <c r="P178" s="39">
        <f t="shared" si="73"/>
        <v>0</v>
      </c>
      <c r="Q178" s="165"/>
      <c r="R178" s="40"/>
      <c r="S178" s="41"/>
      <c r="T178" s="41"/>
      <c r="U178" s="42" t="s">
        <v>250</v>
      </c>
      <c r="V178" s="60">
        <v>1</v>
      </c>
      <c r="W178" s="38" t="s">
        <v>52</v>
      </c>
      <c r="X178" s="41">
        <v>310000</v>
      </c>
      <c r="Y178" s="43">
        <v>0.8</v>
      </c>
      <c r="Z178" s="41">
        <f t="shared" si="84"/>
        <v>248000</v>
      </c>
      <c r="AA178" s="41">
        <f t="shared" ref="AA178:AA181" si="106">P178*7000</f>
        <v>0</v>
      </c>
      <c r="AB178" s="41">
        <f t="shared" si="105"/>
        <v>0</v>
      </c>
      <c r="AC178" s="38"/>
      <c r="AD178" s="44">
        <f t="shared" si="72"/>
        <v>0</v>
      </c>
      <c r="AE178" s="41">
        <f t="shared" si="87"/>
        <v>248000</v>
      </c>
      <c r="AF178" s="314"/>
      <c r="AG178" s="45"/>
      <c r="AH178" s="46"/>
      <c r="AI178" s="46"/>
      <c r="AJ178" s="46"/>
    </row>
    <row r="179" spans="1:36" s="47" customFormat="1" ht="50.25" customHeight="1">
      <c r="A179" s="309"/>
      <c r="B179" s="33" t="s">
        <v>247</v>
      </c>
      <c r="C179" s="50"/>
      <c r="D179" s="50"/>
      <c r="E179" s="51"/>
      <c r="F179" s="34">
        <v>529</v>
      </c>
      <c r="G179" s="34">
        <v>28</v>
      </c>
      <c r="H179" s="35">
        <v>331.3</v>
      </c>
      <c r="I179" s="34" t="s">
        <v>49</v>
      </c>
      <c r="J179" s="36" t="s">
        <v>57</v>
      </c>
      <c r="K179" s="37"/>
      <c r="L179" s="38"/>
      <c r="M179" s="38"/>
      <c r="N179" s="38"/>
      <c r="O179" s="38"/>
      <c r="P179" s="39">
        <f t="shared" si="73"/>
        <v>0</v>
      </c>
      <c r="Q179" s="166"/>
      <c r="R179" s="40"/>
      <c r="S179" s="41"/>
      <c r="T179" s="41"/>
      <c r="U179" s="42" t="s">
        <v>251</v>
      </c>
      <c r="V179" s="60">
        <v>1</v>
      </c>
      <c r="W179" s="38" t="s">
        <v>52</v>
      </c>
      <c r="X179" s="41">
        <v>1091000</v>
      </c>
      <c r="Y179" s="43">
        <v>0.8</v>
      </c>
      <c r="Z179" s="41">
        <f t="shared" si="84"/>
        <v>872800</v>
      </c>
      <c r="AA179" s="41">
        <f t="shared" si="106"/>
        <v>0</v>
      </c>
      <c r="AB179" s="41">
        <f t="shared" si="105"/>
        <v>0</v>
      </c>
      <c r="AC179" s="38"/>
      <c r="AD179" s="44">
        <f t="shared" si="72"/>
        <v>0</v>
      </c>
      <c r="AE179" s="41">
        <f t="shared" si="87"/>
        <v>872800</v>
      </c>
      <c r="AF179" s="315"/>
      <c r="AG179" s="45"/>
      <c r="AH179" s="46"/>
      <c r="AI179" s="46"/>
      <c r="AJ179" s="46"/>
    </row>
    <row r="180" spans="1:36" s="68" customFormat="1" ht="46.5" customHeight="1">
      <c r="A180" s="307">
        <v>51</v>
      </c>
      <c r="B180" s="33" t="s">
        <v>252</v>
      </c>
      <c r="C180" s="50"/>
      <c r="D180" s="50"/>
      <c r="E180" s="51"/>
      <c r="F180" s="34">
        <v>60</v>
      </c>
      <c r="G180" s="34">
        <v>28</v>
      </c>
      <c r="H180" s="35">
        <v>113.3</v>
      </c>
      <c r="I180" s="34" t="s">
        <v>55</v>
      </c>
      <c r="J180" s="36" t="s">
        <v>56</v>
      </c>
      <c r="K180" s="37"/>
      <c r="L180" s="38"/>
      <c r="M180" s="38">
        <v>113.3</v>
      </c>
      <c r="N180" s="38"/>
      <c r="O180" s="38"/>
      <c r="P180" s="39">
        <f t="shared" si="73"/>
        <v>113.3</v>
      </c>
      <c r="Q180" s="316">
        <f>SUM(P180:P183)</f>
        <v>718.60000000000014</v>
      </c>
      <c r="R180" s="40">
        <v>55000</v>
      </c>
      <c r="S180" s="41">
        <f t="shared" ref="S180:S181" si="107">P180*R180</f>
        <v>6231500</v>
      </c>
      <c r="T180" s="41"/>
      <c r="U180" s="42" t="s">
        <v>253</v>
      </c>
      <c r="V180" s="66">
        <v>25</v>
      </c>
      <c r="W180" s="38" t="s">
        <v>52</v>
      </c>
      <c r="X180" s="41">
        <v>118000</v>
      </c>
      <c r="Y180" s="43">
        <v>1</v>
      </c>
      <c r="Z180" s="41">
        <f t="shared" si="84"/>
        <v>2950000</v>
      </c>
      <c r="AA180" s="41">
        <f t="shared" si="106"/>
        <v>793100</v>
      </c>
      <c r="AB180" s="41">
        <f t="shared" si="105"/>
        <v>18694500</v>
      </c>
      <c r="AC180" s="38">
        <v>2</v>
      </c>
      <c r="AD180" s="44">
        <f t="shared" si="72"/>
        <v>7000000</v>
      </c>
      <c r="AE180" s="41">
        <f t="shared" si="87"/>
        <v>35669100</v>
      </c>
      <c r="AF180" s="317">
        <f>SUM(AE180:AE183)</f>
        <v>206275560</v>
      </c>
      <c r="AG180" s="81"/>
      <c r="AH180" s="67"/>
      <c r="AI180" s="67"/>
      <c r="AJ180" s="67"/>
    </row>
    <row r="181" spans="1:36" s="68" customFormat="1" ht="46.5" customHeight="1">
      <c r="A181" s="308"/>
      <c r="B181" s="33" t="s">
        <v>252</v>
      </c>
      <c r="C181" s="50"/>
      <c r="D181" s="50"/>
      <c r="E181" s="51"/>
      <c r="F181" s="34" t="s">
        <v>254</v>
      </c>
      <c r="G181" s="34">
        <v>28</v>
      </c>
      <c r="H181" s="35">
        <v>61.4</v>
      </c>
      <c r="I181" s="34" t="s">
        <v>45</v>
      </c>
      <c r="J181" s="36" t="s">
        <v>60</v>
      </c>
      <c r="K181" s="37"/>
      <c r="L181" s="38"/>
      <c r="M181" s="38">
        <v>61.4</v>
      </c>
      <c r="N181" s="38"/>
      <c r="O181" s="38"/>
      <c r="P181" s="39">
        <f t="shared" si="73"/>
        <v>61.4</v>
      </c>
      <c r="Q181" s="316"/>
      <c r="R181" s="40">
        <v>55000</v>
      </c>
      <c r="S181" s="41">
        <f t="shared" si="107"/>
        <v>3377000</v>
      </c>
      <c r="T181" s="41"/>
      <c r="U181" s="42" t="s">
        <v>255</v>
      </c>
      <c r="V181" s="66">
        <v>14</v>
      </c>
      <c r="W181" s="38" t="s">
        <v>52</v>
      </c>
      <c r="X181" s="41">
        <v>163000</v>
      </c>
      <c r="Y181" s="43">
        <v>1</v>
      </c>
      <c r="Z181" s="41">
        <f t="shared" si="84"/>
        <v>2282000</v>
      </c>
      <c r="AA181" s="41">
        <f t="shared" si="106"/>
        <v>429800</v>
      </c>
      <c r="AB181" s="41">
        <f t="shared" si="105"/>
        <v>10131000</v>
      </c>
      <c r="AC181" s="38"/>
      <c r="AD181" s="44">
        <f t="shared" si="72"/>
        <v>0</v>
      </c>
      <c r="AE181" s="41">
        <f t="shared" si="87"/>
        <v>16219800</v>
      </c>
      <c r="AF181" s="317"/>
      <c r="AG181" s="81"/>
      <c r="AH181" s="67"/>
      <c r="AI181" s="67"/>
      <c r="AJ181" s="67"/>
    </row>
    <row r="182" spans="1:36" s="68" customFormat="1" ht="46.5" customHeight="1">
      <c r="A182" s="308"/>
      <c r="B182" s="33" t="s">
        <v>252</v>
      </c>
      <c r="C182" s="50">
        <v>105</v>
      </c>
      <c r="D182" s="50">
        <v>4</v>
      </c>
      <c r="E182" s="51">
        <v>504</v>
      </c>
      <c r="F182" s="34" t="s">
        <v>256</v>
      </c>
      <c r="G182" s="34">
        <v>28</v>
      </c>
      <c r="H182" s="35">
        <v>555.79999999999995</v>
      </c>
      <c r="I182" s="34" t="s">
        <v>45</v>
      </c>
      <c r="J182" s="36" t="s">
        <v>50</v>
      </c>
      <c r="K182" s="37">
        <f t="shared" ref="K182" si="108">E182</f>
        <v>504</v>
      </c>
      <c r="L182" s="38">
        <f>512.7-504</f>
        <v>8.7000000000000455</v>
      </c>
      <c r="M182" s="38"/>
      <c r="N182" s="38"/>
      <c r="O182" s="38"/>
      <c r="P182" s="39">
        <f t="shared" si="73"/>
        <v>512.70000000000005</v>
      </c>
      <c r="Q182" s="316"/>
      <c r="R182" s="40">
        <v>60000</v>
      </c>
      <c r="S182" s="41">
        <f>P182*R182</f>
        <v>30762000.000000004</v>
      </c>
      <c r="T182" s="41"/>
      <c r="U182" s="42" t="s">
        <v>257</v>
      </c>
      <c r="V182" s="66">
        <f t="shared" ref="V182" si="109">P182</f>
        <v>512.70000000000005</v>
      </c>
      <c r="W182" s="38" t="s">
        <v>48</v>
      </c>
      <c r="X182" s="41">
        <v>33800</v>
      </c>
      <c r="Y182" s="43">
        <v>1</v>
      </c>
      <c r="Z182" s="41">
        <f t="shared" si="84"/>
        <v>17329260</v>
      </c>
      <c r="AA182" s="41">
        <f>P182*10000</f>
        <v>5127000</v>
      </c>
      <c r="AB182" s="41">
        <f t="shared" si="86"/>
        <v>92286000.000000015</v>
      </c>
      <c r="AC182" s="38"/>
      <c r="AD182" s="44">
        <f t="shared" si="72"/>
        <v>0</v>
      </c>
      <c r="AE182" s="41">
        <f t="shared" si="87"/>
        <v>145504260</v>
      </c>
      <c r="AF182" s="317"/>
      <c r="AG182" s="45" t="s">
        <v>258</v>
      </c>
      <c r="AH182" s="67"/>
      <c r="AI182" s="67"/>
      <c r="AJ182" s="67"/>
    </row>
    <row r="183" spans="1:36" s="68" customFormat="1" ht="46.5" customHeight="1">
      <c r="A183" s="309"/>
      <c r="B183" s="33" t="s">
        <v>252</v>
      </c>
      <c r="C183" s="50"/>
      <c r="D183" s="50"/>
      <c r="E183" s="51"/>
      <c r="F183" s="34" t="s">
        <v>259</v>
      </c>
      <c r="G183" s="34">
        <v>21</v>
      </c>
      <c r="H183" s="35">
        <v>136.5</v>
      </c>
      <c r="I183" s="34" t="s">
        <v>49</v>
      </c>
      <c r="J183" s="36" t="s">
        <v>260</v>
      </c>
      <c r="K183" s="37"/>
      <c r="L183" s="38"/>
      <c r="M183" s="38">
        <v>31.2</v>
      </c>
      <c r="N183" s="38"/>
      <c r="O183" s="38"/>
      <c r="P183" s="39">
        <f t="shared" si="73"/>
        <v>31.2</v>
      </c>
      <c r="Q183" s="316"/>
      <c r="R183" s="40">
        <v>55000</v>
      </c>
      <c r="S183" s="41">
        <f>P183*R183</f>
        <v>1716000</v>
      </c>
      <c r="T183" s="41"/>
      <c r="U183" s="42" t="s">
        <v>261</v>
      </c>
      <c r="V183" s="66">
        <v>6</v>
      </c>
      <c r="W183" s="38" t="s">
        <v>52</v>
      </c>
      <c r="X183" s="41">
        <v>300000</v>
      </c>
      <c r="Y183" s="43">
        <v>1</v>
      </c>
      <c r="Z183" s="41">
        <f t="shared" si="84"/>
        <v>1800000</v>
      </c>
      <c r="AA183" s="41">
        <f>P183*7000</f>
        <v>218400</v>
      </c>
      <c r="AB183" s="41">
        <f>P183*R183*3</f>
        <v>5148000</v>
      </c>
      <c r="AC183" s="38"/>
      <c r="AD183" s="44">
        <f t="shared" si="72"/>
        <v>0</v>
      </c>
      <c r="AE183" s="41">
        <f t="shared" si="87"/>
        <v>8882400</v>
      </c>
      <c r="AF183" s="317"/>
      <c r="AG183" s="45" t="s">
        <v>262</v>
      </c>
      <c r="AH183" s="67"/>
      <c r="AI183" s="67"/>
      <c r="AJ183" s="67"/>
    </row>
    <row r="184" spans="1:36" s="68" customFormat="1" ht="59.25" customHeight="1">
      <c r="A184" s="32">
        <v>52</v>
      </c>
      <c r="B184" s="33" t="s">
        <v>263</v>
      </c>
      <c r="C184" s="50">
        <v>92</v>
      </c>
      <c r="D184" s="50">
        <v>4</v>
      </c>
      <c r="E184" s="51">
        <v>240</v>
      </c>
      <c r="F184" s="34" t="s">
        <v>264</v>
      </c>
      <c r="G184" s="34">
        <v>28</v>
      </c>
      <c r="H184" s="35">
        <v>276.10000000000002</v>
      </c>
      <c r="I184" s="34" t="s">
        <v>55</v>
      </c>
      <c r="J184" s="36" t="s">
        <v>60</v>
      </c>
      <c r="K184" s="37">
        <f t="shared" ref="K184:K185" si="110">E184</f>
        <v>240</v>
      </c>
      <c r="L184" s="38">
        <f>276.1-240</f>
        <v>36.100000000000023</v>
      </c>
      <c r="M184" s="38"/>
      <c r="N184" s="38"/>
      <c r="O184" s="38"/>
      <c r="P184" s="39">
        <f t="shared" si="73"/>
        <v>276.10000000000002</v>
      </c>
      <c r="Q184" s="94">
        <f>P184</f>
        <v>276.10000000000002</v>
      </c>
      <c r="R184" s="40">
        <v>60000</v>
      </c>
      <c r="S184" s="41">
        <f t="shared" ref="S184:S185" si="111">P184*R184</f>
        <v>16566000.000000002</v>
      </c>
      <c r="T184" s="41"/>
      <c r="U184" s="42" t="s">
        <v>64</v>
      </c>
      <c r="V184" s="66">
        <f t="shared" ref="V184" si="112">P184</f>
        <v>276.10000000000002</v>
      </c>
      <c r="W184" s="38" t="s">
        <v>48</v>
      </c>
      <c r="X184" s="41">
        <v>9500</v>
      </c>
      <c r="Y184" s="43">
        <v>1</v>
      </c>
      <c r="Z184" s="41">
        <f t="shared" si="84"/>
        <v>2622950</v>
      </c>
      <c r="AA184" s="41">
        <f t="shared" ref="AA184:AA185" si="113">P184*10000</f>
        <v>2761000</v>
      </c>
      <c r="AB184" s="41">
        <f t="shared" si="86"/>
        <v>49698000.000000007</v>
      </c>
      <c r="AC184" s="38"/>
      <c r="AD184" s="44">
        <f t="shared" si="72"/>
        <v>0</v>
      </c>
      <c r="AE184" s="41">
        <f t="shared" si="87"/>
        <v>71647950</v>
      </c>
      <c r="AF184" s="176">
        <f>AE184</f>
        <v>71647950</v>
      </c>
      <c r="AG184" s="45"/>
      <c r="AH184" s="67"/>
      <c r="AI184" s="67"/>
      <c r="AJ184" s="67"/>
    </row>
    <row r="185" spans="1:36" s="47" customFormat="1" ht="56.25" customHeight="1">
      <c r="A185" s="307">
        <v>53</v>
      </c>
      <c r="B185" s="33" t="s">
        <v>265</v>
      </c>
      <c r="C185" s="50">
        <v>122</v>
      </c>
      <c r="D185" s="50">
        <v>4</v>
      </c>
      <c r="E185" s="51">
        <v>192</v>
      </c>
      <c r="F185" s="34">
        <v>351</v>
      </c>
      <c r="G185" s="34">
        <v>28</v>
      </c>
      <c r="H185" s="35">
        <v>206</v>
      </c>
      <c r="I185" s="34" t="s">
        <v>49</v>
      </c>
      <c r="J185" s="36" t="s">
        <v>57</v>
      </c>
      <c r="K185" s="37">
        <f t="shared" si="110"/>
        <v>192</v>
      </c>
      <c r="L185" s="38">
        <f>H185-K185</f>
        <v>14</v>
      </c>
      <c r="M185" s="38"/>
      <c r="N185" s="38"/>
      <c r="O185" s="38"/>
      <c r="P185" s="39">
        <f t="shared" si="73"/>
        <v>206</v>
      </c>
      <c r="Q185" s="310">
        <f>P185</f>
        <v>206</v>
      </c>
      <c r="R185" s="40">
        <v>60000</v>
      </c>
      <c r="S185" s="41">
        <f t="shared" si="111"/>
        <v>12360000</v>
      </c>
      <c r="T185" s="41"/>
      <c r="U185" s="42" t="s">
        <v>64</v>
      </c>
      <c r="V185" s="66">
        <f>206-12</f>
        <v>194</v>
      </c>
      <c r="W185" s="38" t="s">
        <v>48</v>
      </c>
      <c r="X185" s="41">
        <v>9500</v>
      </c>
      <c r="Y185" s="43">
        <v>1</v>
      </c>
      <c r="Z185" s="41">
        <f t="shared" si="84"/>
        <v>1843000</v>
      </c>
      <c r="AA185" s="41">
        <f t="shared" si="113"/>
        <v>2060000</v>
      </c>
      <c r="AB185" s="41">
        <f t="shared" si="86"/>
        <v>37080000</v>
      </c>
      <c r="AC185" s="38"/>
      <c r="AD185" s="44">
        <f t="shared" si="72"/>
        <v>0</v>
      </c>
      <c r="AE185" s="41">
        <f t="shared" si="87"/>
        <v>53343000</v>
      </c>
      <c r="AF185" s="313">
        <f>SUM(AE185:AE187)</f>
        <v>54215800</v>
      </c>
      <c r="AG185" s="45"/>
      <c r="AH185" s="46"/>
      <c r="AI185" s="46"/>
      <c r="AJ185" s="46"/>
    </row>
    <row r="186" spans="1:36" s="47" customFormat="1" ht="56.25" customHeight="1">
      <c r="A186" s="308"/>
      <c r="B186" s="33" t="s">
        <v>265</v>
      </c>
      <c r="C186" s="50"/>
      <c r="D186" s="50"/>
      <c r="E186" s="51"/>
      <c r="F186" s="34">
        <v>351</v>
      </c>
      <c r="G186" s="34">
        <v>28</v>
      </c>
      <c r="H186" s="35">
        <v>206</v>
      </c>
      <c r="I186" s="34" t="s">
        <v>49</v>
      </c>
      <c r="J186" s="36" t="s">
        <v>57</v>
      </c>
      <c r="K186" s="37"/>
      <c r="L186" s="38"/>
      <c r="M186" s="38"/>
      <c r="N186" s="38"/>
      <c r="O186" s="38"/>
      <c r="P186" s="39">
        <f t="shared" si="73"/>
        <v>0</v>
      </c>
      <c r="Q186" s="311"/>
      <c r="R186" s="40"/>
      <c r="S186" s="41">
        <f t="shared" si="90"/>
        <v>0</v>
      </c>
      <c r="T186" s="41"/>
      <c r="U186" s="42" t="s">
        <v>266</v>
      </c>
      <c r="V186" s="66">
        <v>1</v>
      </c>
      <c r="W186" s="38" t="s">
        <v>52</v>
      </c>
      <c r="X186" s="41">
        <v>1091000</v>
      </c>
      <c r="Y186" s="43">
        <v>0.8</v>
      </c>
      <c r="Z186" s="41">
        <f t="shared" si="84"/>
        <v>872800</v>
      </c>
      <c r="AA186" s="41">
        <f t="shared" ref="AA186:AA235" si="114">P186*10000</f>
        <v>0</v>
      </c>
      <c r="AB186" s="41">
        <f t="shared" si="86"/>
        <v>0</v>
      </c>
      <c r="AC186" s="38"/>
      <c r="AD186" s="44">
        <f t="shared" si="72"/>
        <v>0</v>
      </c>
      <c r="AE186" s="41">
        <f t="shared" si="87"/>
        <v>872800</v>
      </c>
      <c r="AF186" s="314"/>
      <c r="AG186" s="45"/>
      <c r="AH186" s="46"/>
      <c r="AI186" s="46"/>
      <c r="AJ186" s="46"/>
    </row>
    <row r="187" spans="1:36" s="47" customFormat="1" ht="56.25" customHeight="1">
      <c r="A187" s="309"/>
      <c r="B187" s="33" t="s">
        <v>265</v>
      </c>
      <c r="C187" s="50"/>
      <c r="D187" s="50"/>
      <c r="E187" s="51"/>
      <c r="F187" s="34">
        <v>351</v>
      </c>
      <c r="G187" s="34">
        <v>28</v>
      </c>
      <c r="H187" s="35">
        <v>206</v>
      </c>
      <c r="I187" s="34" t="s">
        <v>49</v>
      </c>
      <c r="J187" s="36" t="s">
        <v>57</v>
      </c>
      <c r="K187" s="37"/>
      <c r="L187" s="38"/>
      <c r="M187" s="68"/>
      <c r="N187" s="38"/>
      <c r="O187" s="38"/>
      <c r="P187" s="39">
        <f t="shared" si="73"/>
        <v>0</v>
      </c>
      <c r="Q187" s="312"/>
      <c r="R187" s="40"/>
      <c r="S187" s="41">
        <f t="shared" si="90"/>
        <v>0</v>
      </c>
      <c r="T187" s="41"/>
      <c r="U187" s="42" t="s">
        <v>65</v>
      </c>
      <c r="V187" s="66">
        <v>206</v>
      </c>
      <c r="W187" s="38" t="s">
        <v>48</v>
      </c>
      <c r="X187" s="41">
        <f>V187*9500</f>
        <v>1957000</v>
      </c>
      <c r="Y187" s="43">
        <v>0</v>
      </c>
      <c r="Z187" s="41">
        <f t="shared" si="84"/>
        <v>0</v>
      </c>
      <c r="AA187" s="41">
        <f t="shared" si="114"/>
        <v>0</v>
      </c>
      <c r="AB187" s="41">
        <f t="shared" si="86"/>
        <v>0</v>
      </c>
      <c r="AC187" s="38"/>
      <c r="AD187" s="44">
        <f t="shared" si="72"/>
        <v>0</v>
      </c>
      <c r="AE187" s="41">
        <f t="shared" si="87"/>
        <v>0</v>
      </c>
      <c r="AF187" s="315"/>
      <c r="AG187" s="45" t="s">
        <v>113</v>
      </c>
      <c r="AH187" s="46"/>
      <c r="AI187" s="46"/>
      <c r="AJ187" s="46"/>
    </row>
    <row r="188" spans="1:36" s="47" customFormat="1" ht="56.25" customHeight="1">
      <c r="A188" s="307">
        <v>54</v>
      </c>
      <c r="B188" s="33" t="s">
        <v>267</v>
      </c>
      <c r="C188" s="50">
        <v>56</v>
      </c>
      <c r="D188" s="50">
        <v>4</v>
      </c>
      <c r="E188" s="51">
        <v>312</v>
      </c>
      <c r="F188" s="34" t="s">
        <v>268</v>
      </c>
      <c r="G188" s="34">
        <v>28</v>
      </c>
      <c r="H188" s="35">
        <v>438.6</v>
      </c>
      <c r="I188" s="34" t="s">
        <v>45</v>
      </c>
      <c r="J188" s="36" t="s">
        <v>54</v>
      </c>
      <c r="K188" s="37">
        <f>312</f>
        <v>312</v>
      </c>
      <c r="L188" s="38">
        <f>H188-K188</f>
        <v>126.60000000000002</v>
      </c>
      <c r="M188" s="38"/>
      <c r="N188" s="38"/>
      <c r="O188" s="38"/>
      <c r="P188" s="39">
        <f t="shared" si="73"/>
        <v>438.6</v>
      </c>
      <c r="Q188" s="310">
        <f>SUM(P188:P190)</f>
        <v>510.70000000000005</v>
      </c>
      <c r="R188" s="40">
        <v>60000</v>
      </c>
      <c r="S188" s="41">
        <f>P188*R188</f>
        <v>26316000</v>
      </c>
      <c r="T188" s="41"/>
      <c r="U188" s="42" t="s">
        <v>269</v>
      </c>
      <c r="V188" s="66">
        <v>65</v>
      </c>
      <c r="W188" s="38" t="s">
        <v>52</v>
      </c>
      <c r="X188" s="41">
        <v>163000</v>
      </c>
      <c r="Y188" s="43">
        <v>0.8</v>
      </c>
      <c r="Z188" s="41">
        <f t="shared" si="84"/>
        <v>8476000</v>
      </c>
      <c r="AA188" s="41">
        <f>P188*10000</f>
        <v>4386000</v>
      </c>
      <c r="AB188" s="41">
        <f t="shared" si="86"/>
        <v>78948000</v>
      </c>
      <c r="AC188" s="38">
        <v>1</v>
      </c>
      <c r="AD188" s="44">
        <f t="shared" si="72"/>
        <v>3500000</v>
      </c>
      <c r="AE188" s="41">
        <f t="shared" si="87"/>
        <v>121626000</v>
      </c>
      <c r="AF188" s="313">
        <f>SUM(AE188:AE190)</f>
        <v>147866900</v>
      </c>
      <c r="AG188" s="45"/>
      <c r="AH188" s="46"/>
      <c r="AI188" s="46"/>
      <c r="AJ188" s="46"/>
    </row>
    <row r="189" spans="1:36" s="47" customFormat="1" ht="56.25" customHeight="1">
      <c r="A189" s="308"/>
      <c r="B189" s="33" t="s">
        <v>267</v>
      </c>
      <c r="C189" s="50"/>
      <c r="D189" s="50"/>
      <c r="E189" s="51"/>
      <c r="F189" s="34" t="s">
        <v>268</v>
      </c>
      <c r="G189" s="34">
        <v>28</v>
      </c>
      <c r="H189" s="35">
        <v>438.6</v>
      </c>
      <c r="I189" s="34" t="s">
        <v>45</v>
      </c>
      <c r="J189" s="36" t="s">
        <v>54</v>
      </c>
      <c r="K189" s="37"/>
      <c r="L189" s="38"/>
      <c r="M189" s="38"/>
      <c r="N189" s="38"/>
      <c r="O189" s="38"/>
      <c r="P189" s="39">
        <f t="shared" si="73"/>
        <v>0</v>
      </c>
      <c r="Q189" s="311"/>
      <c r="R189" s="40"/>
      <c r="S189" s="41">
        <f t="shared" si="90"/>
        <v>0</v>
      </c>
      <c r="T189" s="41"/>
      <c r="U189" s="42" t="s">
        <v>270</v>
      </c>
      <c r="V189" s="66">
        <v>12</v>
      </c>
      <c r="W189" s="38" t="s">
        <v>52</v>
      </c>
      <c r="X189" s="41">
        <v>623000</v>
      </c>
      <c r="Y189" s="43">
        <v>0.8</v>
      </c>
      <c r="Z189" s="41">
        <f t="shared" si="84"/>
        <v>5980800</v>
      </c>
      <c r="AA189" s="41">
        <f t="shared" si="114"/>
        <v>0</v>
      </c>
      <c r="AB189" s="41">
        <f t="shared" si="86"/>
        <v>0</v>
      </c>
      <c r="AC189" s="38"/>
      <c r="AD189" s="44">
        <f t="shared" si="72"/>
        <v>0</v>
      </c>
      <c r="AE189" s="41">
        <f t="shared" si="87"/>
        <v>5980800</v>
      </c>
      <c r="AF189" s="314"/>
      <c r="AG189" s="45" t="s">
        <v>271</v>
      </c>
      <c r="AH189" s="46"/>
      <c r="AI189" s="46"/>
      <c r="AJ189" s="46"/>
    </row>
    <row r="190" spans="1:36" s="47" customFormat="1" ht="56.25" customHeight="1">
      <c r="A190" s="309"/>
      <c r="B190" s="33" t="s">
        <v>267</v>
      </c>
      <c r="C190" s="50">
        <v>188</v>
      </c>
      <c r="D190" s="50">
        <v>5</v>
      </c>
      <c r="E190" s="51">
        <v>72</v>
      </c>
      <c r="F190" s="34" t="s">
        <v>272</v>
      </c>
      <c r="G190" s="34">
        <v>28</v>
      </c>
      <c r="H190" s="35">
        <v>72.099999999999994</v>
      </c>
      <c r="I190" s="34" t="s">
        <v>49</v>
      </c>
      <c r="J190" s="36" t="s">
        <v>273</v>
      </c>
      <c r="K190" s="37">
        <f t="shared" ref="K190:K210" si="115">E190</f>
        <v>72</v>
      </c>
      <c r="L190" s="38">
        <v>0.1</v>
      </c>
      <c r="M190" s="38"/>
      <c r="N190" s="38"/>
      <c r="O190" s="38"/>
      <c r="P190" s="39">
        <f t="shared" si="73"/>
        <v>72.099999999999994</v>
      </c>
      <c r="Q190" s="312"/>
      <c r="R190" s="40">
        <v>60000</v>
      </c>
      <c r="S190" s="41">
        <f t="shared" si="90"/>
        <v>4326000</v>
      </c>
      <c r="T190" s="41"/>
      <c r="U190" s="42" t="s">
        <v>274</v>
      </c>
      <c r="V190" s="66">
        <f t="shared" si="102"/>
        <v>72.099999999999994</v>
      </c>
      <c r="W190" s="38" t="s">
        <v>48</v>
      </c>
      <c r="X190" s="41">
        <v>31000</v>
      </c>
      <c r="Y190" s="43">
        <v>1</v>
      </c>
      <c r="Z190" s="41">
        <f t="shared" si="84"/>
        <v>2235100</v>
      </c>
      <c r="AA190" s="41">
        <f t="shared" si="114"/>
        <v>721000</v>
      </c>
      <c r="AB190" s="41">
        <f t="shared" si="86"/>
        <v>12978000</v>
      </c>
      <c r="AC190" s="38"/>
      <c r="AD190" s="44">
        <f t="shared" si="72"/>
        <v>0</v>
      </c>
      <c r="AE190" s="41">
        <f t="shared" si="87"/>
        <v>20260100</v>
      </c>
      <c r="AF190" s="315"/>
      <c r="AG190" s="45"/>
      <c r="AH190" s="46"/>
      <c r="AI190" s="46"/>
      <c r="AJ190" s="46"/>
    </row>
    <row r="191" spans="1:36" s="47" customFormat="1" ht="56.25" customHeight="1">
      <c r="A191" s="32">
        <v>55</v>
      </c>
      <c r="B191" s="33" t="s">
        <v>275</v>
      </c>
      <c r="C191" s="50">
        <v>84</v>
      </c>
      <c r="D191" s="50">
        <v>4</v>
      </c>
      <c r="E191" s="51">
        <v>72</v>
      </c>
      <c r="F191" s="34">
        <v>127</v>
      </c>
      <c r="G191" s="34">
        <v>28</v>
      </c>
      <c r="H191" s="35" t="s">
        <v>276</v>
      </c>
      <c r="I191" s="34" t="s">
        <v>55</v>
      </c>
      <c r="J191" s="36" t="s">
        <v>60</v>
      </c>
      <c r="K191" s="37">
        <f t="shared" si="115"/>
        <v>72</v>
      </c>
      <c r="L191" s="38">
        <f>91.2-72</f>
        <v>19.200000000000003</v>
      </c>
      <c r="M191" s="38"/>
      <c r="N191" s="38"/>
      <c r="O191" s="38"/>
      <c r="P191" s="39">
        <f t="shared" si="73"/>
        <v>91.2</v>
      </c>
      <c r="Q191" s="63">
        <f>P191</f>
        <v>91.2</v>
      </c>
      <c r="R191" s="40">
        <v>60000</v>
      </c>
      <c r="S191" s="41">
        <f t="shared" si="90"/>
        <v>5472000</v>
      </c>
      <c r="T191" s="41"/>
      <c r="U191" s="42" t="s">
        <v>64</v>
      </c>
      <c r="V191" s="66">
        <f t="shared" si="102"/>
        <v>91.2</v>
      </c>
      <c r="W191" s="38" t="s">
        <v>48</v>
      </c>
      <c r="X191" s="41">
        <v>9500</v>
      </c>
      <c r="Y191" s="43">
        <v>1</v>
      </c>
      <c r="Z191" s="41">
        <f t="shared" si="84"/>
        <v>866400</v>
      </c>
      <c r="AA191" s="41">
        <f t="shared" si="114"/>
        <v>912000</v>
      </c>
      <c r="AB191" s="41">
        <f t="shared" si="86"/>
        <v>16416000</v>
      </c>
      <c r="AC191" s="38"/>
      <c r="AD191" s="44">
        <f t="shared" si="72"/>
        <v>0</v>
      </c>
      <c r="AE191" s="41">
        <f t="shared" si="87"/>
        <v>23666400</v>
      </c>
      <c r="AF191" s="64">
        <f>AE191</f>
        <v>23666400</v>
      </c>
      <c r="AG191" s="45"/>
      <c r="AH191" s="46"/>
      <c r="AI191" s="46"/>
      <c r="AJ191" s="46"/>
    </row>
    <row r="192" spans="1:36" s="47" customFormat="1" ht="88.9" customHeight="1">
      <c r="A192" s="307">
        <v>56</v>
      </c>
      <c r="B192" s="33" t="s">
        <v>277</v>
      </c>
      <c r="C192" s="50">
        <v>82</v>
      </c>
      <c r="D192" s="50">
        <v>4</v>
      </c>
      <c r="E192" s="51">
        <v>540</v>
      </c>
      <c r="F192" s="34">
        <v>305</v>
      </c>
      <c r="G192" s="34">
        <v>28</v>
      </c>
      <c r="H192" s="35">
        <v>461.5</v>
      </c>
      <c r="I192" s="34" t="s">
        <v>45</v>
      </c>
      <c r="J192" s="36" t="s">
        <v>46</v>
      </c>
      <c r="K192" s="37">
        <v>461.5</v>
      </c>
      <c r="L192" s="38"/>
      <c r="M192" s="38"/>
      <c r="N192" s="38"/>
      <c r="O192" s="38"/>
      <c r="P192" s="39">
        <f t="shared" si="73"/>
        <v>461.5</v>
      </c>
      <c r="Q192" s="316">
        <f>P192+P193</f>
        <v>540</v>
      </c>
      <c r="R192" s="40">
        <v>60000</v>
      </c>
      <c r="S192" s="41">
        <f t="shared" si="90"/>
        <v>27690000</v>
      </c>
      <c r="T192" s="41"/>
      <c r="U192" s="42" t="s">
        <v>47</v>
      </c>
      <c r="V192" s="66">
        <f t="shared" si="102"/>
        <v>461.5</v>
      </c>
      <c r="W192" s="38" t="s">
        <v>48</v>
      </c>
      <c r="X192" s="41">
        <v>9500</v>
      </c>
      <c r="Y192" s="43">
        <v>1</v>
      </c>
      <c r="Z192" s="41">
        <f t="shared" si="84"/>
        <v>4384250</v>
      </c>
      <c r="AA192" s="41">
        <f t="shared" si="114"/>
        <v>4615000</v>
      </c>
      <c r="AB192" s="41">
        <f t="shared" si="86"/>
        <v>83070000</v>
      </c>
      <c r="AC192" s="38">
        <v>1</v>
      </c>
      <c r="AD192" s="44">
        <f t="shared" si="72"/>
        <v>3500000</v>
      </c>
      <c r="AE192" s="41">
        <f t="shared" si="87"/>
        <v>123259250</v>
      </c>
      <c r="AF192" s="317">
        <f>AE192+AE193</f>
        <v>143630000</v>
      </c>
      <c r="AG192" s="45"/>
      <c r="AH192" s="46"/>
      <c r="AI192" s="46"/>
      <c r="AJ192" s="46"/>
    </row>
    <row r="193" spans="1:36" s="47" customFormat="1" ht="89.25" customHeight="1">
      <c r="A193" s="309"/>
      <c r="B193" s="33" t="s">
        <v>277</v>
      </c>
      <c r="C193" s="50">
        <v>82</v>
      </c>
      <c r="D193" s="50">
        <v>4</v>
      </c>
      <c r="E193" s="51">
        <v>540</v>
      </c>
      <c r="F193" s="34">
        <v>272</v>
      </c>
      <c r="G193" s="34">
        <v>28</v>
      </c>
      <c r="H193" s="35" t="s">
        <v>278</v>
      </c>
      <c r="I193" s="34" t="s">
        <v>45</v>
      </c>
      <c r="J193" s="36" t="s">
        <v>60</v>
      </c>
      <c r="K193" s="37">
        <v>78.5</v>
      </c>
      <c r="L193" s="38"/>
      <c r="M193" s="38"/>
      <c r="N193" s="38"/>
      <c r="O193" s="38"/>
      <c r="P193" s="39">
        <f t="shared" si="73"/>
        <v>78.5</v>
      </c>
      <c r="Q193" s="316"/>
      <c r="R193" s="40">
        <v>60000</v>
      </c>
      <c r="S193" s="41">
        <f t="shared" si="90"/>
        <v>4710000</v>
      </c>
      <c r="T193" s="41"/>
      <c r="U193" s="42" t="s">
        <v>47</v>
      </c>
      <c r="V193" s="66">
        <f t="shared" si="102"/>
        <v>78.5</v>
      </c>
      <c r="W193" s="38" t="s">
        <v>48</v>
      </c>
      <c r="X193" s="41">
        <v>9500</v>
      </c>
      <c r="Y193" s="43">
        <v>1</v>
      </c>
      <c r="Z193" s="41">
        <f t="shared" si="84"/>
        <v>745750</v>
      </c>
      <c r="AA193" s="41">
        <f t="shared" si="114"/>
        <v>785000</v>
      </c>
      <c r="AB193" s="41">
        <f>P193*R193*3</f>
        <v>14130000</v>
      </c>
      <c r="AC193" s="38"/>
      <c r="AD193" s="44">
        <f t="shared" si="72"/>
        <v>0</v>
      </c>
      <c r="AE193" s="41">
        <f t="shared" si="87"/>
        <v>20370750</v>
      </c>
      <c r="AF193" s="317"/>
      <c r="AG193" s="45"/>
      <c r="AH193" s="46"/>
      <c r="AI193" s="46"/>
      <c r="AJ193" s="46"/>
    </row>
    <row r="194" spans="1:36" s="47" customFormat="1" ht="62.25" customHeight="1">
      <c r="A194" s="307">
        <v>57</v>
      </c>
      <c r="B194" s="33" t="s">
        <v>279</v>
      </c>
      <c r="C194" s="50">
        <v>82</v>
      </c>
      <c r="D194" s="50">
        <v>4</v>
      </c>
      <c r="E194" s="51">
        <v>180</v>
      </c>
      <c r="F194" s="34">
        <v>272</v>
      </c>
      <c r="G194" s="34">
        <v>28</v>
      </c>
      <c r="H194" s="35" t="s">
        <v>278</v>
      </c>
      <c r="I194" s="34" t="s">
        <v>45</v>
      </c>
      <c r="J194" s="36" t="s">
        <v>60</v>
      </c>
      <c r="K194" s="37">
        <f t="shared" si="115"/>
        <v>180</v>
      </c>
      <c r="L194" s="38">
        <v>70.5</v>
      </c>
      <c r="M194" s="38"/>
      <c r="N194" s="38"/>
      <c r="O194" s="38"/>
      <c r="P194" s="39">
        <f t="shared" si="73"/>
        <v>250.5</v>
      </c>
      <c r="Q194" s="311" t="e">
        <f>P194+P195+P196</f>
        <v>#VALUE!</v>
      </c>
      <c r="R194" s="40">
        <v>60000</v>
      </c>
      <c r="S194" s="41">
        <f t="shared" si="90"/>
        <v>15030000</v>
      </c>
      <c r="T194" s="41"/>
      <c r="U194" s="42" t="s">
        <v>47</v>
      </c>
      <c r="V194" s="66">
        <f t="shared" si="102"/>
        <v>250.5</v>
      </c>
      <c r="W194" s="38" t="s">
        <v>48</v>
      </c>
      <c r="X194" s="41">
        <v>9500</v>
      </c>
      <c r="Y194" s="43">
        <v>1</v>
      </c>
      <c r="Z194" s="41">
        <f t="shared" si="84"/>
        <v>2379750</v>
      </c>
      <c r="AA194" s="41">
        <f t="shared" si="114"/>
        <v>2505000</v>
      </c>
      <c r="AB194" s="41">
        <f>P194*R194*3</f>
        <v>45090000</v>
      </c>
      <c r="AC194" s="38">
        <v>2</v>
      </c>
      <c r="AD194" s="44">
        <f t="shared" si="72"/>
        <v>7000000</v>
      </c>
      <c r="AE194" s="41">
        <f t="shared" si="87"/>
        <v>72004750</v>
      </c>
      <c r="AF194" s="314" t="e">
        <f>AE194+AE195+AE196</f>
        <v>#VALUE!</v>
      </c>
      <c r="AG194" s="45"/>
      <c r="AH194" s="46"/>
      <c r="AI194" s="46"/>
      <c r="AJ194" s="46"/>
    </row>
    <row r="195" spans="1:36" s="47" customFormat="1" ht="62.25" customHeight="1">
      <c r="A195" s="308"/>
      <c r="B195" s="33" t="s">
        <v>279</v>
      </c>
      <c r="C195" s="50">
        <v>84</v>
      </c>
      <c r="D195" s="50">
        <v>4</v>
      </c>
      <c r="E195" s="51">
        <v>144</v>
      </c>
      <c r="F195" s="34">
        <v>150</v>
      </c>
      <c r="G195" s="34">
        <v>28</v>
      </c>
      <c r="H195" s="35" t="s">
        <v>280</v>
      </c>
      <c r="I195" s="34" t="s">
        <v>55</v>
      </c>
      <c r="J195" s="36" t="s">
        <v>60</v>
      </c>
      <c r="K195" s="37">
        <f t="shared" si="115"/>
        <v>144</v>
      </c>
      <c r="L195" s="38">
        <v>0.3</v>
      </c>
      <c r="M195" s="38"/>
      <c r="N195" s="38"/>
      <c r="O195" s="38"/>
      <c r="P195" s="39">
        <f t="shared" si="73"/>
        <v>144.30000000000001</v>
      </c>
      <c r="Q195" s="311"/>
      <c r="R195" s="40">
        <v>60000</v>
      </c>
      <c r="S195" s="41">
        <f t="shared" si="90"/>
        <v>8658000</v>
      </c>
      <c r="T195" s="41"/>
      <c r="U195" s="42" t="s">
        <v>255</v>
      </c>
      <c r="V195" s="60">
        <v>32</v>
      </c>
      <c r="W195" s="38" t="s">
        <v>52</v>
      </c>
      <c r="X195" s="41">
        <v>163000</v>
      </c>
      <c r="Y195" s="43">
        <v>0.8</v>
      </c>
      <c r="Z195" s="41">
        <f t="shared" si="84"/>
        <v>4172800</v>
      </c>
      <c r="AA195" s="41">
        <f t="shared" si="114"/>
        <v>1443000</v>
      </c>
      <c r="AB195" s="41">
        <f t="shared" si="86"/>
        <v>25974000</v>
      </c>
      <c r="AC195" s="38"/>
      <c r="AD195" s="44">
        <f t="shared" si="72"/>
        <v>0</v>
      </c>
      <c r="AE195" s="41">
        <f t="shared" si="87"/>
        <v>40247800</v>
      </c>
      <c r="AF195" s="314"/>
      <c r="AG195" s="45"/>
      <c r="AH195" s="46"/>
      <c r="AI195" s="46"/>
      <c r="AJ195" s="46"/>
    </row>
    <row r="196" spans="1:36" s="47" customFormat="1" ht="62.25" customHeight="1">
      <c r="A196" s="309"/>
      <c r="B196" s="33" t="s">
        <v>279</v>
      </c>
      <c r="C196" s="50">
        <v>42</v>
      </c>
      <c r="D196" s="50">
        <v>4</v>
      </c>
      <c r="E196" s="51">
        <v>288</v>
      </c>
      <c r="F196" s="34">
        <v>233</v>
      </c>
      <c r="G196" s="34">
        <v>21</v>
      </c>
      <c r="H196" s="35" t="s">
        <v>281</v>
      </c>
      <c r="I196" s="34" t="s">
        <v>45</v>
      </c>
      <c r="J196" s="36" t="s">
        <v>54</v>
      </c>
      <c r="K196" s="37">
        <f t="shared" si="115"/>
        <v>288</v>
      </c>
      <c r="L196" s="38" t="e">
        <f>H196-K196</f>
        <v>#VALUE!</v>
      </c>
      <c r="M196" s="38"/>
      <c r="N196" s="38"/>
      <c r="O196" s="38"/>
      <c r="P196" s="39" t="e">
        <f t="shared" si="73"/>
        <v>#VALUE!</v>
      </c>
      <c r="Q196" s="312"/>
      <c r="R196" s="40">
        <v>60000</v>
      </c>
      <c r="S196" s="41" t="e">
        <f t="shared" si="90"/>
        <v>#VALUE!</v>
      </c>
      <c r="T196" s="41"/>
      <c r="U196" s="42" t="s">
        <v>130</v>
      </c>
      <c r="V196" s="60">
        <f>351/4.5</f>
        <v>78</v>
      </c>
      <c r="W196" s="38" t="s">
        <v>52</v>
      </c>
      <c r="X196" s="41">
        <v>118000</v>
      </c>
      <c r="Y196" s="43">
        <v>0.8</v>
      </c>
      <c r="Z196" s="41">
        <f t="shared" si="84"/>
        <v>7363200</v>
      </c>
      <c r="AA196" s="41" t="e">
        <f t="shared" si="114"/>
        <v>#VALUE!</v>
      </c>
      <c r="AB196" s="41" t="e">
        <f t="shared" si="86"/>
        <v>#VALUE!</v>
      </c>
      <c r="AC196" s="38"/>
      <c r="AD196" s="44">
        <f t="shared" si="72"/>
        <v>0</v>
      </c>
      <c r="AE196" s="41" t="e">
        <f t="shared" si="87"/>
        <v>#VALUE!</v>
      </c>
      <c r="AF196" s="315"/>
      <c r="AG196" s="45"/>
      <c r="AH196" s="46"/>
      <c r="AI196" s="46"/>
      <c r="AJ196" s="46"/>
    </row>
    <row r="197" spans="1:36" s="47" customFormat="1" ht="62.25" customHeight="1">
      <c r="A197" s="307">
        <v>58</v>
      </c>
      <c r="B197" s="33" t="s">
        <v>282</v>
      </c>
      <c r="C197" s="50"/>
      <c r="D197" s="50"/>
      <c r="E197" s="51"/>
      <c r="F197" s="34">
        <v>248</v>
      </c>
      <c r="G197" s="34">
        <v>21</v>
      </c>
      <c r="H197" s="35">
        <v>120.3</v>
      </c>
      <c r="I197" s="34" t="s">
        <v>45</v>
      </c>
      <c r="J197" s="36" t="s">
        <v>54</v>
      </c>
      <c r="K197" s="37"/>
      <c r="L197" s="38">
        <v>120.3</v>
      </c>
      <c r="M197" s="38"/>
      <c r="N197" s="38"/>
      <c r="O197" s="38"/>
      <c r="P197" s="39">
        <f t="shared" si="73"/>
        <v>120.3</v>
      </c>
      <c r="Q197" s="316">
        <f>SUM(P197:P201)</f>
        <v>861.50000000000011</v>
      </c>
      <c r="R197" s="40">
        <v>60000</v>
      </c>
      <c r="S197" s="41">
        <f t="shared" si="90"/>
        <v>7218000</v>
      </c>
      <c r="T197" s="41"/>
      <c r="U197" s="42" t="s">
        <v>71</v>
      </c>
      <c r="V197" s="66">
        <f t="shared" si="102"/>
        <v>120.3</v>
      </c>
      <c r="W197" s="38" t="s">
        <v>48</v>
      </c>
      <c r="X197" s="41">
        <v>9500</v>
      </c>
      <c r="Y197" s="43">
        <v>1</v>
      </c>
      <c r="Z197" s="41">
        <f t="shared" si="84"/>
        <v>1142850</v>
      </c>
      <c r="AA197" s="41">
        <f t="shared" si="114"/>
        <v>1203000</v>
      </c>
      <c r="AB197" s="41">
        <f t="shared" si="86"/>
        <v>21654000</v>
      </c>
      <c r="AC197" s="38">
        <v>2</v>
      </c>
      <c r="AD197" s="44">
        <f t="shared" si="72"/>
        <v>7000000</v>
      </c>
      <c r="AE197" s="41">
        <f t="shared" si="87"/>
        <v>38217850</v>
      </c>
      <c r="AF197" s="313">
        <f>SUM(AE197:AE201)</f>
        <v>249477800</v>
      </c>
      <c r="AG197" s="45"/>
      <c r="AH197" s="46"/>
      <c r="AI197" s="46"/>
      <c r="AJ197" s="46"/>
    </row>
    <row r="198" spans="1:36" s="47" customFormat="1" ht="52.5" customHeight="1">
      <c r="A198" s="308"/>
      <c r="B198" s="33" t="s">
        <v>282</v>
      </c>
      <c r="C198" s="50">
        <v>76</v>
      </c>
      <c r="D198" s="50">
        <v>4</v>
      </c>
      <c r="E198" s="51">
        <v>120</v>
      </c>
      <c r="F198" s="34">
        <v>102</v>
      </c>
      <c r="G198" s="34">
        <v>28</v>
      </c>
      <c r="H198" s="35">
        <v>245.3</v>
      </c>
      <c r="I198" s="34" t="s">
        <v>55</v>
      </c>
      <c r="J198" s="36" t="s">
        <v>56</v>
      </c>
      <c r="K198" s="37">
        <f t="shared" si="115"/>
        <v>120</v>
      </c>
      <c r="L198" s="38">
        <f>H198-K198</f>
        <v>125.30000000000001</v>
      </c>
      <c r="M198" s="38"/>
      <c r="N198" s="38"/>
      <c r="O198" s="38"/>
      <c r="P198" s="39">
        <f t="shared" si="73"/>
        <v>245.3</v>
      </c>
      <c r="Q198" s="316"/>
      <c r="R198" s="40">
        <v>60000</v>
      </c>
      <c r="S198" s="41">
        <f t="shared" si="90"/>
        <v>14718000</v>
      </c>
      <c r="T198" s="41"/>
      <c r="U198" s="42" t="s">
        <v>283</v>
      </c>
      <c r="V198" s="66">
        <v>50</v>
      </c>
      <c r="W198" s="38" t="s">
        <v>52</v>
      </c>
      <c r="X198" s="41">
        <v>136000</v>
      </c>
      <c r="Y198" s="43">
        <v>1</v>
      </c>
      <c r="Z198" s="41">
        <f t="shared" si="84"/>
        <v>6800000</v>
      </c>
      <c r="AA198" s="41">
        <f t="shared" si="114"/>
        <v>2453000</v>
      </c>
      <c r="AB198" s="41">
        <f t="shared" si="86"/>
        <v>44154000</v>
      </c>
      <c r="AC198" s="38"/>
      <c r="AD198" s="44">
        <f t="shared" si="72"/>
        <v>0</v>
      </c>
      <c r="AE198" s="41">
        <f t="shared" si="87"/>
        <v>68125000</v>
      </c>
      <c r="AF198" s="314"/>
      <c r="AG198" s="45"/>
      <c r="AH198" s="46"/>
      <c r="AI198" s="46"/>
      <c r="AJ198" s="46"/>
    </row>
    <row r="199" spans="1:36" s="47" customFormat="1" ht="52.5" customHeight="1">
      <c r="A199" s="308"/>
      <c r="B199" s="33" t="s">
        <v>282</v>
      </c>
      <c r="C199" s="50">
        <v>54</v>
      </c>
      <c r="D199" s="50">
        <v>4</v>
      </c>
      <c r="E199" s="51">
        <v>360</v>
      </c>
      <c r="F199" s="34">
        <v>22</v>
      </c>
      <c r="G199" s="34">
        <v>28</v>
      </c>
      <c r="H199" s="35">
        <v>373.8</v>
      </c>
      <c r="I199" s="34" t="s">
        <v>45</v>
      </c>
      <c r="J199" s="36" t="s">
        <v>54</v>
      </c>
      <c r="K199" s="37">
        <f t="shared" si="115"/>
        <v>360</v>
      </c>
      <c r="L199" s="38">
        <f>H199-E199</f>
        <v>13.800000000000011</v>
      </c>
      <c r="M199" s="38"/>
      <c r="N199" s="38"/>
      <c r="O199" s="38"/>
      <c r="P199" s="39">
        <f t="shared" si="73"/>
        <v>373.8</v>
      </c>
      <c r="Q199" s="316"/>
      <c r="R199" s="40">
        <v>60000</v>
      </c>
      <c r="S199" s="41">
        <f t="shared" si="90"/>
        <v>22428000</v>
      </c>
      <c r="T199" s="41"/>
      <c r="U199" s="42" t="s">
        <v>284</v>
      </c>
      <c r="V199" s="66">
        <v>75</v>
      </c>
      <c r="W199" s="38" t="s">
        <v>285</v>
      </c>
      <c r="X199" s="41">
        <v>300000</v>
      </c>
      <c r="Y199" s="43">
        <v>0.8</v>
      </c>
      <c r="Z199" s="41">
        <f t="shared" si="84"/>
        <v>18000000</v>
      </c>
      <c r="AA199" s="41">
        <f t="shared" si="114"/>
        <v>3738000</v>
      </c>
      <c r="AB199" s="41">
        <f t="shared" si="86"/>
        <v>67284000</v>
      </c>
      <c r="AC199" s="38"/>
      <c r="AD199" s="44">
        <f t="shared" si="72"/>
        <v>0</v>
      </c>
      <c r="AE199" s="41">
        <f t="shared" si="87"/>
        <v>111450000</v>
      </c>
      <c r="AF199" s="314"/>
      <c r="AG199" s="45"/>
      <c r="AH199" s="46"/>
      <c r="AI199" s="46"/>
      <c r="AJ199" s="46"/>
    </row>
    <row r="200" spans="1:36" s="47" customFormat="1" ht="52.5" customHeight="1">
      <c r="A200" s="308"/>
      <c r="B200" s="33" t="s">
        <v>282</v>
      </c>
      <c r="C200" s="50"/>
      <c r="D200" s="50"/>
      <c r="E200" s="51"/>
      <c r="F200" s="34"/>
      <c r="G200" s="34"/>
      <c r="H200" s="35"/>
      <c r="I200" s="34" t="s">
        <v>45</v>
      </c>
      <c r="J200" s="36" t="s">
        <v>54</v>
      </c>
      <c r="K200" s="37"/>
      <c r="L200" s="38"/>
      <c r="M200" s="38"/>
      <c r="N200" s="38"/>
      <c r="O200" s="38"/>
      <c r="P200" s="39">
        <f t="shared" si="73"/>
        <v>0</v>
      </c>
      <c r="Q200" s="316"/>
      <c r="R200" s="40"/>
      <c r="S200" s="41">
        <f t="shared" si="90"/>
        <v>0</v>
      </c>
      <c r="T200" s="41"/>
      <c r="U200" s="42" t="s">
        <v>284</v>
      </c>
      <c r="V200" s="66">
        <v>115</v>
      </c>
      <c r="W200" s="38" t="s">
        <v>285</v>
      </c>
      <c r="X200" s="41"/>
      <c r="Y200" s="43"/>
      <c r="Z200" s="41">
        <f t="shared" si="84"/>
        <v>0</v>
      </c>
      <c r="AA200" s="41">
        <f t="shared" si="114"/>
        <v>0</v>
      </c>
      <c r="AB200" s="41">
        <f t="shared" si="86"/>
        <v>0</v>
      </c>
      <c r="AC200" s="38"/>
      <c r="AD200" s="44">
        <f t="shared" si="72"/>
        <v>0</v>
      </c>
      <c r="AE200" s="41">
        <f t="shared" si="87"/>
        <v>0</v>
      </c>
      <c r="AF200" s="314"/>
      <c r="AG200" s="45" t="s">
        <v>53</v>
      </c>
      <c r="AH200" s="46"/>
      <c r="AI200" s="46"/>
      <c r="AJ200" s="46"/>
    </row>
    <row r="201" spans="1:36" s="47" customFormat="1" ht="52.5" customHeight="1">
      <c r="A201" s="309"/>
      <c r="B201" s="33" t="s">
        <v>282</v>
      </c>
      <c r="C201" s="50">
        <v>105</v>
      </c>
      <c r="D201" s="50">
        <v>4</v>
      </c>
      <c r="E201" s="51">
        <v>120</v>
      </c>
      <c r="F201" s="34">
        <v>199</v>
      </c>
      <c r="G201" s="34">
        <v>28</v>
      </c>
      <c r="H201" s="35">
        <v>197.2</v>
      </c>
      <c r="I201" s="34" t="s">
        <v>45</v>
      </c>
      <c r="J201" s="36" t="s">
        <v>60</v>
      </c>
      <c r="K201" s="37">
        <f t="shared" si="115"/>
        <v>120</v>
      </c>
      <c r="L201" s="38">
        <f>122.1-120</f>
        <v>2.0999999999999943</v>
      </c>
      <c r="M201" s="38"/>
      <c r="N201" s="38"/>
      <c r="O201" s="38"/>
      <c r="P201" s="39">
        <f t="shared" si="73"/>
        <v>122.1</v>
      </c>
      <c r="Q201" s="316"/>
      <c r="R201" s="40">
        <v>60000</v>
      </c>
      <c r="S201" s="41">
        <f t="shared" si="90"/>
        <v>7326000</v>
      </c>
      <c r="T201" s="41"/>
      <c r="U201" s="42" t="s">
        <v>47</v>
      </c>
      <c r="V201" s="66">
        <f t="shared" si="102"/>
        <v>122.1</v>
      </c>
      <c r="W201" s="38" t="s">
        <v>48</v>
      </c>
      <c r="X201" s="41">
        <v>9500</v>
      </c>
      <c r="Y201" s="43">
        <v>1</v>
      </c>
      <c r="Z201" s="41">
        <f t="shared" si="84"/>
        <v>1159950</v>
      </c>
      <c r="AA201" s="41">
        <f t="shared" si="114"/>
        <v>1221000</v>
      </c>
      <c r="AB201" s="41">
        <f t="shared" si="86"/>
        <v>21978000</v>
      </c>
      <c r="AC201" s="38"/>
      <c r="AD201" s="44">
        <f t="shared" si="72"/>
        <v>0</v>
      </c>
      <c r="AE201" s="41">
        <f t="shared" si="87"/>
        <v>31684950</v>
      </c>
      <c r="AF201" s="315"/>
      <c r="AG201" s="45"/>
      <c r="AH201" s="46"/>
      <c r="AI201" s="46"/>
      <c r="AJ201" s="46"/>
    </row>
    <row r="202" spans="1:36" s="68" customFormat="1" ht="52.5" customHeight="1">
      <c r="A202" s="307">
        <v>59</v>
      </c>
      <c r="B202" s="33" t="s">
        <v>286</v>
      </c>
      <c r="C202" s="50"/>
      <c r="D202" s="50"/>
      <c r="E202" s="51"/>
      <c r="F202" s="34" t="s">
        <v>287</v>
      </c>
      <c r="G202" s="34">
        <v>28</v>
      </c>
      <c r="H202" s="71">
        <v>576.1</v>
      </c>
      <c r="I202" s="86" t="s">
        <v>49</v>
      </c>
      <c r="J202" s="36" t="s">
        <v>50</v>
      </c>
      <c r="K202" s="37"/>
      <c r="L202" s="38">
        <f>316.1-240</f>
        <v>76.100000000000023</v>
      </c>
      <c r="M202" s="38"/>
      <c r="N202" s="38"/>
      <c r="O202" s="38"/>
      <c r="P202" s="39">
        <f t="shared" si="73"/>
        <v>76.100000000000023</v>
      </c>
      <c r="Q202" s="310">
        <f>SUM(P202:P204)</f>
        <v>491.70000000000005</v>
      </c>
      <c r="R202" s="40">
        <v>60000</v>
      </c>
      <c r="S202" s="41">
        <f t="shared" si="90"/>
        <v>4566000.0000000009</v>
      </c>
      <c r="T202" s="41">
        <f>N202*30000</f>
        <v>0</v>
      </c>
      <c r="U202" s="42" t="s">
        <v>47</v>
      </c>
      <c r="V202" s="66">
        <f t="shared" si="102"/>
        <v>76.100000000000023</v>
      </c>
      <c r="W202" s="38" t="s">
        <v>48</v>
      </c>
      <c r="X202" s="41">
        <v>9500</v>
      </c>
      <c r="Y202" s="43">
        <v>1</v>
      </c>
      <c r="Z202" s="41">
        <f t="shared" si="84"/>
        <v>722950.00000000023</v>
      </c>
      <c r="AA202" s="41">
        <f t="shared" si="114"/>
        <v>761000.00000000023</v>
      </c>
      <c r="AB202" s="41">
        <f t="shared" si="86"/>
        <v>13698000.000000004</v>
      </c>
      <c r="AC202" s="38">
        <v>1</v>
      </c>
      <c r="AD202" s="44">
        <f t="shared" si="72"/>
        <v>3500000</v>
      </c>
      <c r="AE202" s="41">
        <f t="shared" si="87"/>
        <v>23247950.000000004</v>
      </c>
      <c r="AF202" s="313">
        <f>SUM(AE202:AE204)</f>
        <v>78296150</v>
      </c>
      <c r="AG202" s="45"/>
      <c r="AH202" s="67"/>
      <c r="AI202" s="67"/>
      <c r="AJ202" s="67"/>
    </row>
    <row r="203" spans="1:36" s="68" customFormat="1" ht="52.5" customHeight="1">
      <c r="A203" s="308"/>
      <c r="B203" s="33" t="s">
        <v>288</v>
      </c>
      <c r="C203" s="50"/>
      <c r="D203" s="50"/>
      <c r="E203" s="51"/>
      <c r="F203" s="34" t="s">
        <v>287</v>
      </c>
      <c r="G203" s="34">
        <v>28</v>
      </c>
      <c r="H203" s="71">
        <v>576.1</v>
      </c>
      <c r="I203" s="86" t="s">
        <v>49</v>
      </c>
      <c r="J203" s="36" t="s">
        <v>50</v>
      </c>
      <c r="K203" s="37"/>
      <c r="L203" s="38"/>
      <c r="M203" s="38"/>
      <c r="N203" s="38">
        <v>240</v>
      </c>
      <c r="O203" s="38"/>
      <c r="P203" s="39">
        <f t="shared" si="73"/>
        <v>240</v>
      </c>
      <c r="Q203" s="311"/>
      <c r="R203" s="40"/>
      <c r="S203" s="41">
        <f>60000*L203</f>
        <v>0</v>
      </c>
      <c r="T203" s="41">
        <f>N203*30000</f>
        <v>7200000</v>
      </c>
      <c r="U203" s="42" t="s">
        <v>47</v>
      </c>
      <c r="V203" s="66">
        <f t="shared" si="102"/>
        <v>240</v>
      </c>
      <c r="W203" s="38" t="s">
        <v>48</v>
      </c>
      <c r="X203" s="41">
        <v>9500</v>
      </c>
      <c r="Y203" s="43">
        <v>1</v>
      </c>
      <c r="Z203" s="41">
        <f>V203*X203*Y203</f>
        <v>2280000</v>
      </c>
      <c r="AA203" s="41"/>
      <c r="AB203" s="41">
        <f t="shared" si="86"/>
        <v>0</v>
      </c>
      <c r="AC203" s="38"/>
      <c r="AD203" s="44">
        <f t="shared" si="72"/>
        <v>0</v>
      </c>
      <c r="AE203" s="41">
        <f t="shared" si="87"/>
        <v>9480000</v>
      </c>
      <c r="AF203" s="314"/>
      <c r="AG203" s="45"/>
      <c r="AH203" s="67"/>
      <c r="AI203" s="67"/>
      <c r="AJ203" s="67"/>
    </row>
    <row r="204" spans="1:36" s="68" customFormat="1" ht="52.5" customHeight="1">
      <c r="A204" s="309"/>
      <c r="B204" s="33" t="s">
        <v>288</v>
      </c>
      <c r="C204" s="50">
        <v>301</v>
      </c>
      <c r="D204" s="50">
        <v>5</v>
      </c>
      <c r="E204" s="51">
        <v>216</v>
      </c>
      <c r="F204" s="34" t="s">
        <v>289</v>
      </c>
      <c r="G204" s="34">
        <v>28</v>
      </c>
      <c r="H204" s="71">
        <v>175.6</v>
      </c>
      <c r="I204" s="86" t="s">
        <v>49</v>
      </c>
      <c r="J204" s="36" t="s">
        <v>111</v>
      </c>
      <c r="K204" s="37">
        <v>175.6</v>
      </c>
      <c r="L204" s="38"/>
      <c r="M204" s="38"/>
      <c r="N204" s="38"/>
      <c r="O204" s="38"/>
      <c r="P204" s="39">
        <f t="shared" ref="P204:P267" si="116">SUM(K204:O204)</f>
        <v>175.6</v>
      </c>
      <c r="Q204" s="312"/>
      <c r="R204" s="40">
        <v>60000</v>
      </c>
      <c r="S204" s="41">
        <f t="shared" ref="S204:S206" si="117">P204*R204</f>
        <v>10536000</v>
      </c>
      <c r="T204" s="41"/>
      <c r="U204" s="42" t="s">
        <v>47</v>
      </c>
      <c r="V204" s="66">
        <f t="shared" si="102"/>
        <v>175.6</v>
      </c>
      <c r="W204" s="38" t="s">
        <v>48</v>
      </c>
      <c r="X204" s="41">
        <v>9500</v>
      </c>
      <c r="Y204" s="43">
        <v>1</v>
      </c>
      <c r="Z204" s="41">
        <f t="shared" si="84"/>
        <v>1668200</v>
      </c>
      <c r="AA204" s="41">
        <f t="shared" ref="AA204:AA206" si="118">P204*10000</f>
        <v>1756000</v>
      </c>
      <c r="AB204" s="41">
        <f t="shared" si="86"/>
        <v>31608000</v>
      </c>
      <c r="AC204" s="38"/>
      <c r="AD204" s="44">
        <f t="shared" ref="AD204:AD267" si="119">AC204*3500000</f>
        <v>0</v>
      </c>
      <c r="AE204" s="41">
        <f t="shared" si="87"/>
        <v>45568200</v>
      </c>
      <c r="AF204" s="315"/>
      <c r="AG204" s="45" t="s">
        <v>290</v>
      </c>
      <c r="AH204" s="67"/>
      <c r="AI204" s="67"/>
      <c r="AJ204" s="67"/>
    </row>
    <row r="205" spans="1:36" s="47" customFormat="1" ht="52.5" customHeight="1">
      <c r="A205" s="307">
        <v>60</v>
      </c>
      <c r="B205" s="33" t="s">
        <v>291</v>
      </c>
      <c r="C205" s="50"/>
      <c r="D205" s="50"/>
      <c r="E205" s="51"/>
      <c r="F205" s="34" t="s">
        <v>292</v>
      </c>
      <c r="G205" s="87" t="s">
        <v>99</v>
      </c>
      <c r="H205" s="88">
        <v>31.9</v>
      </c>
      <c r="I205" s="89" t="s">
        <v>45</v>
      </c>
      <c r="J205" s="36" t="s">
        <v>137</v>
      </c>
      <c r="K205" s="37"/>
      <c r="L205" s="38">
        <v>31.9</v>
      </c>
      <c r="M205" s="38"/>
      <c r="N205" s="38"/>
      <c r="O205" s="38"/>
      <c r="P205" s="39">
        <f t="shared" si="116"/>
        <v>31.9</v>
      </c>
      <c r="Q205" s="310">
        <f>SUM(P205:P208)</f>
        <v>441.8</v>
      </c>
      <c r="R205" s="40">
        <v>60000</v>
      </c>
      <c r="S205" s="41">
        <f t="shared" si="117"/>
        <v>1914000</v>
      </c>
      <c r="T205" s="41"/>
      <c r="U205" s="42" t="s">
        <v>71</v>
      </c>
      <c r="V205" s="66">
        <f t="shared" si="102"/>
        <v>31.9</v>
      </c>
      <c r="W205" s="38" t="s">
        <v>48</v>
      </c>
      <c r="X205" s="41">
        <v>9500</v>
      </c>
      <c r="Y205" s="43">
        <v>1</v>
      </c>
      <c r="Z205" s="41">
        <f t="shared" si="84"/>
        <v>303050</v>
      </c>
      <c r="AA205" s="41">
        <f t="shared" si="118"/>
        <v>319000</v>
      </c>
      <c r="AB205" s="41">
        <f t="shared" si="86"/>
        <v>5742000</v>
      </c>
      <c r="AC205" s="38">
        <v>1</v>
      </c>
      <c r="AD205" s="44">
        <f t="shared" si="119"/>
        <v>3500000</v>
      </c>
      <c r="AE205" s="41">
        <f t="shared" si="87"/>
        <v>11778050</v>
      </c>
      <c r="AF205" s="313">
        <f>SUM(AE205:AE208)</f>
        <v>118482500</v>
      </c>
      <c r="AG205" s="45"/>
      <c r="AH205" s="46"/>
      <c r="AI205" s="46"/>
      <c r="AJ205" s="46"/>
    </row>
    <row r="206" spans="1:36" s="47" customFormat="1" ht="52.5" customHeight="1">
      <c r="A206" s="308"/>
      <c r="B206" s="33" t="s">
        <v>291</v>
      </c>
      <c r="C206" s="50">
        <v>128</v>
      </c>
      <c r="D206" s="50">
        <v>5</v>
      </c>
      <c r="E206" s="51">
        <v>120</v>
      </c>
      <c r="F206" s="34" t="s">
        <v>293</v>
      </c>
      <c r="G206" s="87" t="s">
        <v>99</v>
      </c>
      <c r="H206" s="88">
        <v>135.6</v>
      </c>
      <c r="I206" s="89" t="s">
        <v>49</v>
      </c>
      <c r="J206" s="36" t="s">
        <v>50</v>
      </c>
      <c r="K206" s="37">
        <f t="shared" ref="K206" si="120">E206</f>
        <v>120</v>
      </c>
      <c r="L206" s="38">
        <f t="shared" ref="L206" si="121">H206-K206</f>
        <v>15.599999999999994</v>
      </c>
      <c r="M206" s="38"/>
      <c r="N206" s="38"/>
      <c r="O206" s="38"/>
      <c r="P206" s="39">
        <f t="shared" si="116"/>
        <v>135.6</v>
      </c>
      <c r="Q206" s="311"/>
      <c r="R206" s="40">
        <v>60000</v>
      </c>
      <c r="S206" s="41">
        <f t="shared" si="117"/>
        <v>8136000</v>
      </c>
      <c r="T206" s="41"/>
      <c r="U206" s="42" t="s">
        <v>71</v>
      </c>
      <c r="V206" s="66">
        <v>120</v>
      </c>
      <c r="W206" s="38" t="s">
        <v>48</v>
      </c>
      <c r="X206" s="41">
        <v>9500</v>
      </c>
      <c r="Y206" s="43">
        <v>1</v>
      </c>
      <c r="Z206" s="41">
        <f t="shared" si="84"/>
        <v>1140000</v>
      </c>
      <c r="AA206" s="41">
        <f t="shared" si="118"/>
        <v>1356000</v>
      </c>
      <c r="AB206" s="41">
        <f t="shared" si="86"/>
        <v>24408000</v>
      </c>
      <c r="AC206" s="38"/>
      <c r="AD206" s="44">
        <f t="shared" si="119"/>
        <v>0</v>
      </c>
      <c r="AE206" s="41">
        <f t="shared" si="87"/>
        <v>35040000</v>
      </c>
      <c r="AF206" s="314"/>
      <c r="AG206" s="45"/>
      <c r="AH206" s="46"/>
      <c r="AI206" s="46"/>
      <c r="AJ206" s="46"/>
    </row>
    <row r="207" spans="1:36" s="47" customFormat="1" ht="52.5" customHeight="1">
      <c r="A207" s="308"/>
      <c r="B207" s="33" t="s">
        <v>291</v>
      </c>
      <c r="C207" s="50"/>
      <c r="D207" s="50"/>
      <c r="E207" s="51"/>
      <c r="F207" s="34" t="s">
        <v>293</v>
      </c>
      <c r="G207" s="87" t="s">
        <v>99</v>
      </c>
      <c r="H207" s="88">
        <v>135.6</v>
      </c>
      <c r="I207" s="89" t="s">
        <v>49</v>
      </c>
      <c r="J207" s="36" t="s">
        <v>50</v>
      </c>
      <c r="K207" s="37"/>
      <c r="L207" s="38"/>
      <c r="M207" s="38"/>
      <c r="N207" s="38"/>
      <c r="O207" s="38"/>
      <c r="P207" s="39">
        <f t="shared" si="116"/>
        <v>0</v>
      </c>
      <c r="Q207" s="311"/>
      <c r="R207" s="40"/>
      <c r="S207" s="41">
        <f t="shared" si="90"/>
        <v>0</v>
      </c>
      <c r="T207" s="41"/>
      <c r="U207" s="42" t="s">
        <v>58</v>
      </c>
      <c r="V207" s="66">
        <v>15.6</v>
      </c>
      <c r="W207" s="38" t="s">
        <v>48</v>
      </c>
      <c r="X207" s="41">
        <v>31000</v>
      </c>
      <c r="Y207" s="43">
        <v>1</v>
      </c>
      <c r="Z207" s="41">
        <f t="shared" si="84"/>
        <v>483600</v>
      </c>
      <c r="AA207" s="41">
        <f t="shared" si="114"/>
        <v>0</v>
      </c>
      <c r="AB207" s="41">
        <f t="shared" si="86"/>
        <v>0</v>
      </c>
      <c r="AC207" s="38"/>
      <c r="AD207" s="44">
        <f t="shared" si="119"/>
        <v>0</v>
      </c>
      <c r="AE207" s="41">
        <f t="shared" si="87"/>
        <v>483600</v>
      </c>
      <c r="AF207" s="314"/>
      <c r="AG207" s="45"/>
      <c r="AH207" s="46"/>
      <c r="AI207" s="46"/>
      <c r="AJ207" s="46"/>
    </row>
    <row r="208" spans="1:36" s="47" customFormat="1" ht="52.5" customHeight="1" thickBot="1">
      <c r="A208" s="309"/>
      <c r="B208" s="33" t="s">
        <v>291</v>
      </c>
      <c r="C208" s="50">
        <v>79</v>
      </c>
      <c r="D208" s="50">
        <v>4</v>
      </c>
      <c r="E208" s="51">
        <v>288</v>
      </c>
      <c r="F208" s="34">
        <v>32</v>
      </c>
      <c r="G208" s="87">
        <v>28</v>
      </c>
      <c r="H208" s="88">
        <v>274.3</v>
      </c>
      <c r="I208" s="89" t="s">
        <v>45</v>
      </c>
      <c r="J208" s="36" t="s">
        <v>60</v>
      </c>
      <c r="K208" s="37">
        <v>178.9</v>
      </c>
      <c r="L208" s="38">
        <f t="shared" ref="L208" si="122">H208-K208</f>
        <v>95.4</v>
      </c>
      <c r="M208" s="38"/>
      <c r="N208" s="38"/>
      <c r="O208" s="38"/>
      <c r="P208" s="39">
        <f t="shared" si="116"/>
        <v>274.3</v>
      </c>
      <c r="Q208" s="312"/>
      <c r="R208" s="40">
        <v>60000</v>
      </c>
      <c r="S208" s="41">
        <f t="shared" si="90"/>
        <v>16458000</v>
      </c>
      <c r="T208" s="41"/>
      <c r="U208" s="42" t="s">
        <v>71</v>
      </c>
      <c r="V208" s="66">
        <f t="shared" si="102"/>
        <v>274.3</v>
      </c>
      <c r="W208" s="38" t="s">
        <v>48</v>
      </c>
      <c r="X208" s="41">
        <v>9500</v>
      </c>
      <c r="Y208" s="43">
        <v>1</v>
      </c>
      <c r="Z208" s="41">
        <f t="shared" si="84"/>
        <v>2605850</v>
      </c>
      <c r="AA208" s="41">
        <f t="shared" si="114"/>
        <v>2743000</v>
      </c>
      <c r="AB208" s="41">
        <f t="shared" si="86"/>
        <v>49374000</v>
      </c>
      <c r="AC208" s="38"/>
      <c r="AD208" s="44">
        <f t="shared" si="119"/>
        <v>0</v>
      </c>
      <c r="AE208" s="41">
        <f t="shared" si="87"/>
        <v>71180850</v>
      </c>
      <c r="AF208" s="315"/>
      <c r="AG208" s="45" t="s">
        <v>294</v>
      </c>
      <c r="AH208" s="46"/>
      <c r="AI208" s="46"/>
      <c r="AJ208" s="46"/>
    </row>
    <row r="209" spans="1:36" s="68" customFormat="1" ht="52.5" customHeight="1">
      <c r="A209" s="307">
        <v>61</v>
      </c>
      <c r="B209" s="33" t="s">
        <v>295</v>
      </c>
      <c r="C209" s="90">
        <v>128</v>
      </c>
      <c r="D209" s="91">
        <v>5</v>
      </c>
      <c r="E209" s="92">
        <v>144</v>
      </c>
      <c r="F209" s="70" t="s">
        <v>296</v>
      </c>
      <c r="G209" s="48" t="s">
        <v>99</v>
      </c>
      <c r="H209" s="93">
        <v>521.70000000000005</v>
      </c>
      <c r="I209" s="34" t="s">
        <v>49</v>
      </c>
      <c r="J209" s="36" t="s">
        <v>50</v>
      </c>
      <c r="K209" s="37">
        <f t="shared" si="115"/>
        <v>144</v>
      </c>
      <c r="L209" s="38">
        <v>9.3000000000000007</v>
      </c>
      <c r="M209" s="38"/>
      <c r="N209" s="38"/>
      <c r="O209" s="38"/>
      <c r="P209" s="39">
        <f t="shared" si="116"/>
        <v>153.30000000000001</v>
      </c>
      <c r="Q209" s="310">
        <f>SUM(P209:P214)</f>
        <v>480.80000000000007</v>
      </c>
      <c r="R209" s="40">
        <v>60000</v>
      </c>
      <c r="S209" s="41">
        <f t="shared" si="90"/>
        <v>9198000</v>
      </c>
      <c r="T209" s="41"/>
      <c r="U209" s="42" t="s">
        <v>297</v>
      </c>
      <c r="V209" s="60">
        <f>153/5</f>
        <v>30.6</v>
      </c>
      <c r="W209" s="38" t="s">
        <v>52</v>
      </c>
      <c r="X209" s="41">
        <v>118000</v>
      </c>
      <c r="Y209" s="43">
        <v>0.8</v>
      </c>
      <c r="Z209" s="41">
        <f t="shared" si="84"/>
        <v>2888640</v>
      </c>
      <c r="AA209" s="41">
        <f t="shared" si="114"/>
        <v>1533000</v>
      </c>
      <c r="AB209" s="41">
        <f t="shared" si="86"/>
        <v>27594000</v>
      </c>
      <c r="AC209" s="38">
        <v>1</v>
      </c>
      <c r="AD209" s="44">
        <f t="shared" si="119"/>
        <v>3500000</v>
      </c>
      <c r="AE209" s="41">
        <f t="shared" si="87"/>
        <v>44713640</v>
      </c>
      <c r="AF209" s="313">
        <f>SUM(AE209:AE214)</f>
        <v>129699890</v>
      </c>
      <c r="AG209" s="45" t="s">
        <v>298</v>
      </c>
      <c r="AH209" s="67"/>
      <c r="AI209" s="67"/>
      <c r="AJ209" s="67"/>
    </row>
    <row r="210" spans="1:36" s="47" customFormat="1" ht="52.5" customHeight="1">
      <c r="A210" s="308"/>
      <c r="B210" s="33" t="s">
        <v>295</v>
      </c>
      <c r="C210" s="50">
        <v>106</v>
      </c>
      <c r="D210" s="50">
        <v>5</v>
      </c>
      <c r="E210" s="51">
        <v>60</v>
      </c>
      <c r="F210" s="34" t="s">
        <v>299</v>
      </c>
      <c r="G210" s="34" t="s">
        <v>99</v>
      </c>
      <c r="H210" s="35">
        <v>170.5</v>
      </c>
      <c r="I210" s="34" t="s">
        <v>49</v>
      </c>
      <c r="J210" s="36" t="s">
        <v>50</v>
      </c>
      <c r="K210" s="37">
        <f t="shared" si="115"/>
        <v>60</v>
      </c>
      <c r="L210" s="38">
        <f t="shared" ref="L210" si="123">H210-K210</f>
        <v>110.5</v>
      </c>
      <c r="M210" s="38"/>
      <c r="N210" s="38"/>
      <c r="O210" s="38"/>
      <c r="P210" s="39">
        <f t="shared" si="116"/>
        <v>170.5</v>
      </c>
      <c r="Q210" s="311"/>
      <c r="R210" s="40">
        <v>60000</v>
      </c>
      <c r="S210" s="41">
        <f t="shared" si="90"/>
        <v>10230000</v>
      </c>
      <c r="T210" s="41"/>
      <c r="U210" s="42" t="s">
        <v>47</v>
      </c>
      <c r="V210" s="66">
        <f t="shared" ref="V210" si="124">P210</f>
        <v>170.5</v>
      </c>
      <c r="W210" s="38" t="s">
        <v>48</v>
      </c>
      <c r="X210" s="41">
        <v>9500</v>
      </c>
      <c r="Y210" s="43">
        <v>1</v>
      </c>
      <c r="Z210" s="41">
        <f t="shared" si="84"/>
        <v>1619750</v>
      </c>
      <c r="AA210" s="41">
        <f t="shared" si="114"/>
        <v>1705000</v>
      </c>
      <c r="AB210" s="41">
        <f t="shared" si="86"/>
        <v>30690000</v>
      </c>
      <c r="AC210" s="38"/>
      <c r="AD210" s="44">
        <f t="shared" si="119"/>
        <v>0</v>
      </c>
      <c r="AE210" s="41">
        <f t="shared" si="87"/>
        <v>44244750</v>
      </c>
      <c r="AF210" s="314"/>
      <c r="AG210" s="45"/>
      <c r="AH210" s="46"/>
      <c r="AI210" s="46"/>
      <c r="AJ210" s="46"/>
    </row>
    <row r="211" spans="1:36" s="47" customFormat="1" ht="52.5" customHeight="1">
      <c r="A211" s="308"/>
      <c r="B211" s="33" t="s">
        <v>295</v>
      </c>
      <c r="C211" s="50">
        <v>106</v>
      </c>
      <c r="D211" s="50">
        <v>5</v>
      </c>
      <c r="E211" s="51">
        <v>60</v>
      </c>
      <c r="F211" s="34" t="s">
        <v>299</v>
      </c>
      <c r="G211" s="34" t="s">
        <v>99</v>
      </c>
      <c r="H211" s="35">
        <v>170.5</v>
      </c>
      <c r="I211" s="34" t="s">
        <v>49</v>
      </c>
      <c r="J211" s="36" t="s">
        <v>50</v>
      </c>
      <c r="K211" s="37"/>
      <c r="L211" s="38"/>
      <c r="M211" s="38"/>
      <c r="N211" s="38"/>
      <c r="O211" s="38"/>
      <c r="P211" s="39">
        <f t="shared" si="116"/>
        <v>0</v>
      </c>
      <c r="Q211" s="311"/>
      <c r="R211" s="40"/>
      <c r="S211" s="41">
        <f t="shared" ref="S211:S266" si="125">P211*R211</f>
        <v>0</v>
      </c>
      <c r="T211" s="41"/>
      <c r="U211" s="42" t="s">
        <v>65</v>
      </c>
      <c r="V211" s="66">
        <f t="shared" si="102"/>
        <v>0</v>
      </c>
      <c r="W211" s="38" t="s">
        <v>48</v>
      </c>
      <c r="X211" s="41"/>
      <c r="Y211" s="43">
        <v>0</v>
      </c>
      <c r="Z211" s="41">
        <f t="shared" ref="Z211:Z272" si="126">V211*X211*Y211</f>
        <v>0</v>
      </c>
      <c r="AA211" s="41">
        <f t="shared" si="114"/>
        <v>0</v>
      </c>
      <c r="AB211" s="41">
        <f t="shared" ref="AB211:AB272" si="127">P211*R211*3</f>
        <v>0</v>
      </c>
      <c r="AC211" s="38"/>
      <c r="AD211" s="44">
        <f t="shared" si="119"/>
        <v>0</v>
      </c>
      <c r="AE211" s="41">
        <f t="shared" ref="AE211:AE274" si="128">S211+Z211+AA211+AB211+AD211+T211</f>
        <v>0</v>
      </c>
      <c r="AF211" s="314"/>
      <c r="AG211" s="45" t="s">
        <v>300</v>
      </c>
      <c r="AH211" s="46"/>
      <c r="AI211" s="46"/>
      <c r="AJ211" s="46"/>
    </row>
    <row r="212" spans="1:36" s="47" customFormat="1" ht="52.5" customHeight="1">
      <c r="A212" s="308"/>
      <c r="B212" s="33" t="s">
        <v>295</v>
      </c>
      <c r="C212" s="50"/>
      <c r="D212" s="50"/>
      <c r="E212" s="51"/>
      <c r="F212" s="34" t="s">
        <v>301</v>
      </c>
      <c r="G212" s="34" t="s">
        <v>99</v>
      </c>
      <c r="H212" s="35">
        <v>77.900000000000006</v>
      </c>
      <c r="I212" s="34" t="s">
        <v>49</v>
      </c>
      <c r="J212" s="36" t="s">
        <v>46</v>
      </c>
      <c r="K212" s="37"/>
      <c r="L212" s="38">
        <f t="shared" ref="L212:L224" si="129">H212-K212</f>
        <v>77.900000000000006</v>
      </c>
      <c r="M212" s="38"/>
      <c r="N212" s="38"/>
      <c r="O212" s="38"/>
      <c r="P212" s="39">
        <f t="shared" si="116"/>
        <v>77.900000000000006</v>
      </c>
      <c r="Q212" s="311"/>
      <c r="R212" s="40">
        <v>60000</v>
      </c>
      <c r="S212" s="41">
        <f t="shared" si="125"/>
        <v>4674000</v>
      </c>
      <c r="T212" s="41"/>
      <c r="U212" s="42" t="s">
        <v>47</v>
      </c>
      <c r="V212" s="66">
        <f t="shared" si="102"/>
        <v>77.900000000000006</v>
      </c>
      <c r="W212" s="38" t="s">
        <v>48</v>
      </c>
      <c r="X212" s="41">
        <v>9500</v>
      </c>
      <c r="Y212" s="43">
        <v>1</v>
      </c>
      <c r="Z212" s="41">
        <f t="shared" si="126"/>
        <v>740050</v>
      </c>
      <c r="AA212" s="41">
        <f t="shared" si="114"/>
        <v>779000</v>
      </c>
      <c r="AB212" s="41">
        <f t="shared" si="127"/>
        <v>14022000</v>
      </c>
      <c r="AC212" s="38"/>
      <c r="AD212" s="44">
        <f t="shared" si="119"/>
        <v>0</v>
      </c>
      <c r="AE212" s="41">
        <f t="shared" si="128"/>
        <v>20215050</v>
      </c>
      <c r="AF212" s="314"/>
      <c r="AG212" s="45"/>
      <c r="AH212" s="46"/>
      <c r="AI212" s="46"/>
      <c r="AJ212" s="46"/>
    </row>
    <row r="213" spans="1:36" s="47" customFormat="1" ht="52.5" customHeight="1">
      <c r="A213" s="308"/>
      <c r="B213" s="33" t="s">
        <v>295</v>
      </c>
      <c r="C213" s="50">
        <v>35</v>
      </c>
      <c r="D213" s="50">
        <v>6</v>
      </c>
      <c r="E213" s="51">
        <v>72</v>
      </c>
      <c r="F213" s="34">
        <v>285</v>
      </c>
      <c r="G213" s="34">
        <v>28</v>
      </c>
      <c r="H213" s="35">
        <v>79.099999999999994</v>
      </c>
      <c r="I213" s="34" t="s">
        <v>49</v>
      </c>
      <c r="J213" s="36" t="s">
        <v>50</v>
      </c>
      <c r="K213" s="37">
        <f t="shared" ref="K213" si="130">E213</f>
        <v>72</v>
      </c>
      <c r="L213" s="38">
        <f t="shared" si="129"/>
        <v>7.0999999999999943</v>
      </c>
      <c r="M213" s="38"/>
      <c r="N213" s="38"/>
      <c r="O213" s="38"/>
      <c r="P213" s="39">
        <f t="shared" si="116"/>
        <v>79.099999999999994</v>
      </c>
      <c r="Q213" s="311"/>
      <c r="R213" s="40">
        <v>60000</v>
      </c>
      <c r="S213" s="41">
        <f t="shared" si="125"/>
        <v>4746000</v>
      </c>
      <c r="T213" s="41"/>
      <c r="U213" s="42" t="s">
        <v>47</v>
      </c>
      <c r="V213" s="66">
        <f t="shared" si="102"/>
        <v>79.099999999999994</v>
      </c>
      <c r="W213" s="38" t="s">
        <v>48</v>
      </c>
      <c r="X213" s="41">
        <v>9500</v>
      </c>
      <c r="Y213" s="43">
        <v>1</v>
      </c>
      <c r="Z213" s="41">
        <f t="shared" si="126"/>
        <v>751450</v>
      </c>
      <c r="AA213" s="41">
        <f t="shared" si="114"/>
        <v>791000</v>
      </c>
      <c r="AB213" s="41">
        <f t="shared" si="127"/>
        <v>14238000</v>
      </c>
      <c r="AC213" s="38"/>
      <c r="AD213" s="44">
        <f t="shared" si="119"/>
        <v>0</v>
      </c>
      <c r="AE213" s="41">
        <f t="shared" si="128"/>
        <v>20526450</v>
      </c>
      <c r="AF213" s="314"/>
      <c r="AG213" s="45"/>
      <c r="AH213" s="46"/>
      <c r="AI213" s="46"/>
      <c r="AJ213" s="46"/>
    </row>
    <row r="214" spans="1:36" s="47" customFormat="1" ht="52.5" customHeight="1">
      <c r="A214" s="309"/>
      <c r="B214" s="33" t="s">
        <v>295</v>
      </c>
      <c r="C214" s="50">
        <v>35</v>
      </c>
      <c r="D214" s="50">
        <v>6</v>
      </c>
      <c r="E214" s="51">
        <v>72</v>
      </c>
      <c r="F214" s="34">
        <v>285</v>
      </c>
      <c r="G214" s="34">
        <v>28</v>
      </c>
      <c r="H214" s="35">
        <v>79.099999999999994</v>
      </c>
      <c r="I214" s="34" t="s">
        <v>49</v>
      </c>
      <c r="J214" s="36" t="s">
        <v>50</v>
      </c>
      <c r="K214" s="37"/>
      <c r="L214" s="38"/>
      <c r="M214" s="38"/>
      <c r="N214" s="38"/>
      <c r="O214" s="38"/>
      <c r="P214" s="39">
        <f t="shared" si="116"/>
        <v>0</v>
      </c>
      <c r="Q214" s="312"/>
      <c r="R214" s="40">
        <v>60000</v>
      </c>
      <c r="S214" s="41">
        <f t="shared" si="125"/>
        <v>0</v>
      </c>
      <c r="T214" s="41"/>
      <c r="U214" s="42" t="s">
        <v>65</v>
      </c>
      <c r="V214" s="66">
        <f t="shared" si="102"/>
        <v>0</v>
      </c>
      <c r="W214" s="38" t="s">
        <v>48</v>
      </c>
      <c r="X214" s="41"/>
      <c r="Y214" s="43">
        <v>0</v>
      </c>
      <c r="Z214" s="41">
        <f t="shared" si="126"/>
        <v>0</v>
      </c>
      <c r="AA214" s="41">
        <f t="shared" si="114"/>
        <v>0</v>
      </c>
      <c r="AB214" s="41">
        <f t="shared" si="127"/>
        <v>0</v>
      </c>
      <c r="AC214" s="38"/>
      <c r="AD214" s="44">
        <f t="shared" si="119"/>
        <v>0</v>
      </c>
      <c r="AE214" s="41">
        <f t="shared" si="128"/>
        <v>0</v>
      </c>
      <c r="AF214" s="315"/>
      <c r="AG214" s="45" t="s">
        <v>300</v>
      </c>
      <c r="AH214" s="46"/>
      <c r="AI214" s="46"/>
      <c r="AJ214" s="46"/>
    </row>
    <row r="215" spans="1:36" s="47" customFormat="1" ht="52.5" customHeight="1">
      <c r="A215" s="307">
        <v>62</v>
      </c>
      <c r="B215" s="33" t="s">
        <v>302</v>
      </c>
      <c r="C215" s="322">
        <v>211</v>
      </c>
      <c r="D215" s="322">
        <v>4</v>
      </c>
      <c r="E215" s="325">
        <v>276</v>
      </c>
      <c r="F215" s="34">
        <v>529</v>
      </c>
      <c r="G215" s="34" t="s">
        <v>99</v>
      </c>
      <c r="H215" s="35">
        <v>331.3</v>
      </c>
      <c r="I215" s="34" t="s">
        <v>49</v>
      </c>
      <c r="J215" s="36" t="s">
        <v>57</v>
      </c>
      <c r="K215" s="37">
        <v>31.3</v>
      </c>
      <c r="L215" s="38"/>
      <c r="M215" s="38"/>
      <c r="N215" s="38"/>
      <c r="O215" s="38"/>
      <c r="P215" s="39">
        <f t="shared" si="116"/>
        <v>31.3</v>
      </c>
      <c r="Q215" s="310">
        <f>SUM(P215:P224)</f>
        <v>1147.8000000000002</v>
      </c>
      <c r="R215" s="40">
        <v>60000</v>
      </c>
      <c r="S215" s="41">
        <f t="shared" si="125"/>
        <v>1878000</v>
      </c>
      <c r="T215" s="41"/>
      <c r="U215" s="42" t="s">
        <v>90</v>
      </c>
      <c r="V215" s="66">
        <v>6</v>
      </c>
      <c r="W215" s="38" t="s">
        <v>48</v>
      </c>
      <c r="X215" s="41">
        <v>300000</v>
      </c>
      <c r="Y215" s="43">
        <v>0.8</v>
      </c>
      <c r="Z215" s="41">
        <f>V215*X215*Y215</f>
        <v>1440000</v>
      </c>
      <c r="AA215" s="41">
        <f t="shared" si="114"/>
        <v>313000</v>
      </c>
      <c r="AB215" s="41">
        <f t="shared" si="127"/>
        <v>5634000</v>
      </c>
      <c r="AC215" s="38">
        <v>2</v>
      </c>
      <c r="AD215" s="44">
        <f t="shared" si="119"/>
        <v>7000000</v>
      </c>
      <c r="AE215" s="41">
        <f t="shared" si="128"/>
        <v>16265000</v>
      </c>
      <c r="AF215" s="313">
        <f>SUM(AE215:AE224)</f>
        <v>311851550</v>
      </c>
      <c r="AG215" s="45"/>
      <c r="AH215" s="46"/>
      <c r="AI215" s="46"/>
      <c r="AJ215" s="46"/>
    </row>
    <row r="216" spans="1:36" s="47" customFormat="1" ht="52.5" customHeight="1">
      <c r="A216" s="308"/>
      <c r="B216" s="33" t="s">
        <v>302</v>
      </c>
      <c r="C216" s="323"/>
      <c r="D216" s="323"/>
      <c r="E216" s="326"/>
      <c r="F216" s="34">
        <v>529</v>
      </c>
      <c r="G216" s="34" t="s">
        <v>99</v>
      </c>
      <c r="H216" s="35">
        <v>331.3</v>
      </c>
      <c r="I216" s="34" t="s">
        <v>49</v>
      </c>
      <c r="J216" s="36" t="s">
        <v>57</v>
      </c>
      <c r="K216" s="37"/>
      <c r="L216" s="38"/>
      <c r="M216" s="38"/>
      <c r="N216" s="38"/>
      <c r="O216" s="38"/>
      <c r="P216" s="39">
        <f t="shared" si="116"/>
        <v>0</v>
      </c>
      <c r="Q216" s="311"/>
      <c r="R216" s="40"/>
      <c r="S216" s="41">
        <f t="shared" si="125"/>
        <v>0</v>
      </c>
      <c r="T216" s="41"/>
      <c r="U216" s="42" t="s">
        <v>173</v>
      </c>
      <c r="V216" s="66"/>
      <c r="W216" s="38" t="s">
        <v>48</v>
      </c>
      <c r="X216" s="41"/>
      <c r="Y216" s="43">
        <v>0</v>
      </c>
      <c r="Z216" s="41">
        <f t="shared" ref="Z216:Z218" si="131">V216*X216*Y216</f>
        <v>0</v>
      </c>
      <c r="AA216" s="41">
        <f t="shared" si="114"/>
        <v>0</v>
      </c>
      <c r="AB216" s="41">
        <f t="shared" si="127"/>
        <v>0</v>
      </c>
      <c r="AC216" s="38"/>
      <c r="AD216" s="44">
        <f t="shared" si="119"/>
        <v>0</v>
      </c>
      <c r="AE216" s="41">
        <f t="shared" si="128"/>
        <v>0</v>
      </c>
      <c r="AF216" s="314"/>
      <c r="AG216" s="45" t="s">
        <v>303</v>
      </c>
      <c r="AH216" s="46"/>
      <c r="AI216" s="46"/>
      <c r="AJ216" s="46"/>
    </row>
    <row r="217" spans="1:36" s="47" customFormat="1" ht="52.5" customHeight="1">
      <c r="A217" s="308"/>
      <c r="B217" s="33" t="s">
        <v>302</v>
      </c>
      <c r="C217" s="323"/>
      <c r="D217" s="323"/>
      <c r="E217" s="326"/>
      <c r="F217" s="34" t="s">
        <v>304</v>
      </c>
      <c r="G217" s="34" t="s">
        <v>99</v>
      </c>
      <c r="H217" s="35">
        <v>228</v>
      </c>
      <c r="I217" s="34" t="s">
        <v>49</v>
      </c>
      <c r="J217" s="36" t="s">
        <v>57</v>
      </c>
      <c r="K217" s="37">
        <v>228</v>
      </c>
      <c r="L217" s="38">
        <f t="shared" ref="L217" si="132">H217-K217</f>
        <v>0</v>
      </c>
      <c r="M217" s="38"/>
      <c r="N217" s="38"/>
      <c r="O217" s="38"/>
      <c r="P217" s="39">
        <f t="shared" si="116"/>
        <v>228</v>
      </c>
      <c r="Q217" s="311"/>
      <c r="R217" s="40">
        <v>60000</v>
      </c>
      <c r="S217" s="41">
        <f t="shared" si="125"/>
        <v>13680000</v>
      </c>
      <c r="T217" s="41"/>
      <c r="U217" s="42" t="s">
        <v>90</v>
      </c>
      <c r="V217" s="66">
        <v>29</v>
      </c>
      <c r="W217" s="38" t="s">
        <v>48</v>
      </c>
      <c r="X217" s="41">
        <v>300000</v>
      </c>
      <c r="Y217" s="43">
        <v>0.8</v>
      </c>
      <c r="Z217" s="41">
        <f t="shared" si="131"/>
        <v>6960000</v>
      </c>
      <c r="AA217" s="41">
        <f t="shared" si="114"/>
        <v>2280000</v>
      </c>
      <c r="AB217" s="41">
        <f t="shared" si="127"/>
        <v>41040000</v>
      </c>
      <c r="AC217" s="38"/>
      <c r="AD217" s="44">
        <f t="shared" si="119"/>
        <v>0</v>
      </c>
      <c r="AE217" s="41">
        <f t="shared" si="128"/>
        <v>63960000</v>
      </c>
      <c r="AF217" s="314"/>
      <c r="AG217" s="45"/>
      <c r="AH217" s="46"/>
      <c r="AI217" s="46"/>
      <c r="AJ217" s="46"/>
    </row>
    <row r="218" spans="1:36" s="47" customFormat="1" ht="52.5" customHeight="1">
      <c r="A218" s="308"/>
      <c r="B218" s="33" t="s">
        <v>302</v>
      </c>
      <c r="C218" s="323"/>
      <c r="D218" s="323"/>
      <c r="E218" s="326"/>
      <c r="F218" s="34" t="s">
        <v>304</v>
      </c>
      <c r="G218" s="34" t="s">
        <v>99</v>
      </c>
      <c r="H218" s="35">
        <v>228</v>
      </c>
      <c r="I218" s="34" t="s">
        <v>49</v>
      </c>
      <c r="J218" s="36" t="s">
        <v>57</v>
      </c>
      <c r="K218" s="37"/>
      <c r="L218" s="38"/>
      <c r="M218" s="38"/>
      <c r="N218" s="38"/>
      <c r="O218" s="38"/>
      <c r="P218" s="39">
        <f t="shared" si="116"/>
        <v>0</v>
      </c>
      <c r="Q218" s="311"/>
      <c r="R218" s="40">
        <v>60000</v>
      </c>
      <c r="S218" s="41">
        <f t="shared" si="125"/>
        <v>0</v>
      </c>
      <c r="T218" s="41"/>
      <c r="U218" s="42" t="s">
        <v>250</v>
      </c>
      <c r="V218" s="66">
        <v>1</v>
      </c>
      <c r="W218" s="38" t="s">
        <v>52</v>
      </c>
      <c r="X218" s="41">
        <v>235000</v>
      </c>
      <c r="Y218" s="43">
        <v>0.8</v>
      </c>
      <c r="Z218" s="41">
        <f t="shared" si="131"/>
        <v>188000</v>
      </c>
      <c r="AA218" s="41">
        <f t="shared" si="114"/>
        <v>0</v>
      </c>
      <c r="AB218" s="41">
        <f t="shared" si="127"/>
        <v>0</v>
      </c>
      <c r="AC218" s="38"/>
      <c r="AD218" s="44">
        <f t="shared" si="119"/>
        <v>0</v>
      </c>
      <c r="AE218" s="41">
        <f t="shared" si="128"/>
        <v>188000</v>
      </c>
      <c r="AF218" s="314"/>
      <c r="AG218" s="45" t="s">
        <v>303</v>
      </c>
      <c r="AH218" s="46"/>
      <c r="AI218" s="46"/>
      <c r="AJ218" s="46"/>
    </row>
    <row r="219" spans="1:36" s="47" customFormat="1" ht="52.5" customHeight="1">
      <c r="A219" s="308"/>
      <c r="B219" s="33" t="s">
        <v>302</v>
      </c>
      <c r="C219" s="324"/>
      <c r="D219" s="324"/>
      <c r="E219" s="327"/>
      <c r="F219" s="34" t="s">
        <v>304</v>
      </c>
      <c r="G219" s="34" t="s">
        <v>99</v>
      </c>
      <c r="H219" s="35">
        <v>228</v>
      </c>
      <c r="I219" s="34" t="s">
        <v>49</v>
      </c>
      <c r="J219" s="36" t="s">
        <v>57</v>
      </c>
      <c r="K219" s="37"/>
      <c r="L219" s="38"/>
      <c r="M219" s="38"/>
      <c r="N219" s="38"/>
      <c r="O219" s="38"/>
      <c r="P219" s="39">
        <f t="shared" si="116"/>
        <v>0</v>
      </c>
      <c r="Q219" s="311"/>
      <c r="R219" s="40">
        <v>60000</v>
      </c>
      <c r="S219" s="41">
        <f t="shared" si="125"/>
        <v>0</v>
      </c>
      <c r="T219" s="41"/>
      <c r="U219" s="42" t="s">
        <v>305</v>
      </c>
      <c r="V219" s="66">
        <v>1</v>
      </c>
      <c r="W219" s="38" t="s">
        <v>52</v>
      </c>
      <c r="X219" s="41">
        <v>1091000</v>
      </c>
      <c r="Y219" s="43">
        <v>0.8</v>
      </c>
      <c r="Z219" s="41">
        <f t="shared" si="126"/>
        <v>872800</v>
      </c>
      <c r="AA219" s="41">
        <f t="shared" si="114"/>
        <v>0</v>
      </c>
      <c r="AB219" s="41">
        <f t="shared" si="127"/>
        <v>0</v>
      </c>
      <c r="AC219" s="38"/>
      <c r="AD219" s="44">
        <f t="shared" si="119"/>
        <v>0</v>
      </c>
      <c r="AE219" s="41">
        <f t="shared" si="128"/>
        <v>872800</v>
      </c>
      <c r="AF219" s="314"/>
      <c r="AG219" s="45" t="s">
        <v>303</v>
      </c>
      <c r="AH219" s="46"/>
      <c r="AI219" s="46"/>
      <c r="AJ219" s="46"/>
    </row>
    <row r="220" spans="1:36" s="47" customFormat="1" ht="52.5" customHeight="1">
      <c r="A220" s="308"/>
      <c r="B220" s="33" t="s">
        <v>302</v>
      </c>
      <c r="C220" s="50">
        <v>128</v>
      </c>
      <c r="D220" s="50">
        <v>5</v>
      </c>
      <c r="E220" s="51">
        <v>276</v>
      </c>
      <c r="F220" s="34" t="s">
        <v>306</v>
      </c>
      <c r="G220" s="34" t="s">
        <v>99</v>
      </c>
      <c r="H220" s="35">
        <v>250.9</v>
      </c>
      <c r="I220" s="34" t="s">
        <v>49</v>
      </c>
      <c r="J220" s="36" t="s">
        <v>50</v>
      </c>
      <c r="K220" s="37">
        <v>250.9</v>
      </c>
      <c r="L220" s="38">
        <f t="shared" si="129"/>
        <v>0</v>
      </c>
      <c r="M220" s="38"/>
      <c r="N220" s="38"/>
      <c r="O220" s="38"/>
      <c r="P220" s="39">
        <f t="shared" si="116"/>
        <v>250.9</v>
      </c>
      <c r="Q220" s="311"/>
      <c r="R220" s="40">
        <v>60000</v>
      </c>
      <c r="S220" s="41">
        <f t="shared" si="125"/>
        <v>15054000</v>
      </c>
      <c r="T220" s="41"/>
      <c r="U220" s="42" t="s">
        <v>47</v>
      </c>
      <c r="V220" s="66">
        <f t="shared" si="102"/>
        <v>250.9</v>
      </c>
      <c r="W220" s="38" t="s">
        <v>48</v>
      </c>
      <c r="X220" s="41">
        <v>9500</v>
      </c>
      <c r="Y220" s="43">
        <v>1</v>
      </c>
      <c r="Z220" s="41">
        <f t="shared" si="126"/>
        <v>2383550</v>
      </c>
      <c r="AA220" s="41">
        <f t="shared" si="114"/>
        <v>2509000</v>
      </c>
      <c r="AB220" s="41">
        <f t="shared" si="127"/>
        <v>45162000</v>
      </c>
      <c r="AC220" s="38"/>
      <c r="AD220" s="44">
        <f t="shared" si="119"/>
        <v>0</v>
      </c>
      <c r="AE220" s="41">
        <f t="shared" si="128"/>
        <v>65108550</v>
      </c>
      <c r="AF220" s="314"/>
      <c r="AG220" s="45"/>
      <c r="AH220" s="46"/>
      <c r="AI220" s="46"/>
      <c r="AJ220" s="46"/>
    </row>
    <row r="221" spans="1:36" s="47" customFormat="1" ht="52.5" customHeight="1">
      <c r="A221" s="308"/>
      <c r="B221" s="33" t="s">
        <v>302</v>
      </c>
      <c r="C221" s="50">
        <v>3</v>
      </c>
      <c r="D221" s="50">
        <v>4</v>
      </c>
      <c r="E221" s="51">
        <v>312</v>
      </c>
      <c r="F221" s="34" t="s">
        <v>307</v>
      </c>
      <c r="G221" s="34" t="s">
        <v>96</v>
      </c>
      <c r="H221" s="35">
        <v>256.7</v>
      </c>
      <c r="I221" s="34" t="s">
        <v>45</v>
      </c>
      <c r="J221" s="36" t="s">
        <v>54</v>
      </c>
      <c r="K221" s="37">
        <v>250.9</v>
      </c>
      <c r="L221" s="38">
        <f t="shared" si="129"/>
        <v>5.7999999999999829</v>
      </c>
      <c r="M221" s="38"/>
      <c r="N221" s="38"/>
      <c r="O221" s="38"/>
      <c r="P221" s="39">
        <f t="shared" si="116"/>
        <v>256.7</v>
      </c>
      <c r="Q221" s="311"/>
      <c r="R221" s="40">
        <v>60000</v>
      </c>
      <c r="S221" s="41">
        <f t="shared" si="125"/>
        <v>15402000</v>
      </c>
      <c r="T221" s="41"/>
      <c r="U221" s="42" t="s">
        <v>47</v>
      </c>
      <c r="V221" s="66">
        <f t="shared" si="102"/>
        <v>256.7</v>
      </c>
      <c r="W221" s="38" t="s">
        <v>48</v>
      </c>
      <c r="X221" s="41">
        <v>9500</v>
      </c>
      <c r="Y221" s="43">
        <v>1</v>
      </c>
      <c r="Z221" s="41">
        <f t="shared" si="126"/>
        <v>2438650</v>
      </c>
      <c r="AA221" s="41">
        <f t="shared" si="114"/>
        <v>2567000</v>
      </c>
      <c r="AB221" s="41">
        <f t="shared" si="127"/>
        <v>46206000</v>
      </c>
      <c r="AC221" s="38"/>
      <c r="AD221" s="44">
        <f t="shared" si="119"/>
        <v>0</v>
      </c>
      <c r="AE221" s="41">
        <f t="shared" si="128"/>
        <v>66613650</v>
      </c>
      <c r="AF221" s="314"/>
      <c r="AG221" s="45"/>
      <c r="AH221" s="46"/>
      <c r="AI221" s="46"/>
      <c r="AJ221" s="46"/>
    </row>
    <row r="222" spans="1:36" s="47" customFormat="1" ht="52.5" customHeight="1">
      <c r="A222" s="308"/>
      <c r="B222" s="33" t="s">
        <v>302</v>
      </c>
      <c r="C222" s="50">
        <v>86</v>
      </c>
      <c r="D222" s="50">
        <v>4</v>
      </c>
      <c r="E222" s="51">
        <v>168</v>
      </c>
      <c r="F222" s="34" t="s">
        <v>308</v>
      </c>
      <c r="G222" s="34" t="s">
        <v>99</v>
      </c>
      <c r="H222" s="35">
        <v>187.2</v>
      </c>
      <c r="I222" s="34" t="s">
        <v>55</v>
      </c>
      <c r="J222" s="36" t="s">
        <v>60</v>
      </c>
      <c r="K222" s="37">
        <f t="shared" ref="K222" si="133">E222</f>
        <v>168</v>
      </c>
      <c r="L222" s="38">
        <f t="shared" si="129"/>
        <v>19.199999999999989</v>
      </c>
      <c r="M222" s="38"/>
      <c r="N222" s="38"/>
      <c r="O222" s="38"/>
      <c r="P222" s="39">
        <f t="shared" si="116"/>
        <v>187.2</v>
      </c>
      <c r="Q222" s="311"/>
      <c r="R222" s="40">
        <v>60000</v>
      </c>
      <c r="S222" s="41">
        <f t="shared" si="125"/>
        <v>11232000</v>
      </c>
      <c r="T222" s="41"/>
      <c r="U222" s="42" t="s">
        <v>47</v>
      </c>
      <c r="V222" s="66">
        <v>187.2</v>
      </c>
      <c r="W222" s="38" t="s">
        <v>48</v>
      </c>
      <c r="X222" s="41">
        <v>9500</v>
      </c>
      <c r="Y222" s="43">
        <v>1</v>
      </c>
      <c r="Z222" s="41">
        <f t="shared" si="126"/>
        <v>1778400</v>
      </c>
      <c r="AA222" s="41">
        <f t="shared" si="114"/>
        <v>1872000</v>
      </c>
      <c r="AB222" s="41">
        <f t="shared" si="127"/>
        <v>33696000</v>
      </c>
      <c r="AC222" s="38"/>
      <c r="AD222" s="44">
        <f t="shared" si="119"/>
        <v>0</v>
      </c>
      <c r="AE222" s="41">
        <f t="shared" si="128"/>
        <v>48578400</v>
      </c>
      <c r="AF222" s="314"/>
      <c r="AG222" s="45"/>
      <c r="AH222" s="46"/>
      <c r="AI222" s="46"/>
      <c r="AJ222" s="46"/>
    </row>
    <row r="223" spans="1:36" s="47" customFormat="1" ht="52.5" customHeight="1">
      <c r="A223" s="308"/>
      <c r="B223" s="33" t="s">
        <v>302</v>
      </c>
      <c r="C223" s="50">
        <v>86</v>
      </c>
      <c r="D223" s="50">
        <v>4</v>
      </c>
      <c r="E223" s="51">
        <v>168</v>
      </c>
      <c r="F223" s="34" t="s">
        <v>308</v>
      </c>
      <c r="G223" s="34" t="s">
        <v>99</v>
      </c>
      <c r="H223" s="35">
        <v>187.2</v>
      </c>
      <c r="I223" s="34" t="s">
        <v>55</v>
      </c>
      <c r="J223" s="36" t="s">
        <v>60</v>
      </c>
      <c r="K223" s="37"/>
      <c r="L223" s="38"/>
      <c r="M223" s="38"/>
      <c r="N223" s="38"/>
      <c r="O223" s="38"/>
      <c r="P223" s="39">
        <f t="shared" si="116"/>
        <v>0</v>
      </c>
      <c r="Q223" s="311"/>
      <c r="R223" s="40">
        <v>60000</v>
      </c>
      <c r="S223" s="41">
        <f t="shared" si="125"/>
        <v>0</v>
      </c>
      <c r="T223" s="41"/>
      <c r="U223" s="42" t="s">
        <v>173</v>
      </c>
      <c r="V223" s="66"/>
      <c r="W223" s="38" t="s">
        <v>48</v>
      </c>
      <c r="X223" s="41"/>
      <c r="Y223" s="43">
        <v>0</v>
      </c>
      <c r="Z223" s="41">
        <f t="shared" si="126"/>
        <v>0</v>
      </c>
      <c r="AA223" s="41">
        <f t="shared" si="114"/>
        <v>0</v>
      </c>
      <c r="AB223" s="41">
        <f t="shared" si="127"/>
        <v>0</v>
      </c>
      <c r="AC223" s="38"/>
      <c r="AD223" s="44">
        <f t="shared" si="119"/>
        <v>0</v>
      </c>
      <c r="AE223" s="41">
        <f t="shared" si="128"/>
        <v>0</v>
      </c>
      <c r="AF223" s="314"/>
      <c r="AG223" s="45" t="s">
        <v>113</v>
      </c>
      <c r="AH223" s="46"/>
      <c r="AI223" s="46"/>
      <c r="AJ223" s="46"/>
    </row>
    <row r="224" spans="1:36" s="47" customFormat="1" ht="52.5" customHeight="1">
      <c r="A224" s="309"/>
      <c r="B224" s="33" t="s">
        <v>302</v>
      </c>
      <c r="C224" s="50">
        <v>189</v>
      </c>
      <c r="D224" s="50">
        <v>5</v>
      </c>
      <c r="E224" s="51">
        <v>144</v>
      </c>
      <c r="F224" s="34" t="s">
        <v>309</v>
      </c>
      <c r="G224" s="34" t="s">
        <v>99</v>
      </c>
      <c r="H224" s="35">
        <v>193.7</v>
      </c>
      <c r="I224" s="34" t="s">
        <v>49</v>
      </c>
      <c r="J224" s="36" t="s">
        <v>111</v>
      </c>
      <c r="K224" s="37">
        <f t="shared" ref="K224:K260" si="134">E224</f>
        <v>144</v>
      </c>
      <c r="L224" s="38">
        <f t="shared" si="129"/>
        <v>49.699999999999989</v>
      </c>
      <c r="M224" s="38"/>
      <c r="N224" s="38"/>
      <c r="O224" s="38"/>
      <c r="P224" s="39">
        <f t="shared" si="116"/>
        <v>193.7</v>
      </c>
      <c r="Q224" s="312"/>
      <c r="R224" s="40">
        <v>60000</v>
      </c>
      <c r="S224" s="41">
        <f t="shared" si="125"/>
        <v>11622000</v>
      </c>
      <c r="T224" s="41"/>
      <c r="U224" s="42" t="s">
        <v>310</v>
      </c>
      <c r="V224" s="66">
        <f t="shared" si="102"/>
        <v>193.7</v>
      </c>
      <c r="W224" s="38" t="s">
        <v>48</v>
      </c>
      <c r="X224" s="41">
        <v>9500</v>
      </c>
      <c r="Y224" s="43">
        <v>1</v>
      </c>
      <c r="Z224" s="41">
        <f t="shared" si="126"/>
        <v>1840150</v>
      </c>
      <c r="AA224" s="41">
        <f t="shared" si="114"/>
        <v>1937000</v>
      </c>
      <c r="AB224" s="41">
        <f t="shared" si="127"/>
        <v>34866000</v>
      </c>
      <c r="AC224" s="38"/>
      <c r="AD224" s="44">
        <f t="shared" si="119"/>
        <v>0</v>
      </c>
      <c r="AE224" s="41">
        <f t="shared" si="128"/>
        <v>50265150</v>
      </c>
      <c r="AF224" s="315"/>
      <c r="AG224" s="45"/>
      <c r="AH224" s="46"/>
      <c r="AI224" s="46"/>
      <c r="AJ224" s="46"/>
    </row>
    <row r="225" spans="1:36" s="68" customFormat="1" ht="57.75" customHeight="1">
      <c r="A225" s="307">
        <v>63</v>
      </c>
      <c r="B225" s="33" t="s">
        <v>311</v>
      </c>
      <c r="C225" s="50">
        <v>79</v>
      </c>
      <c r="D225" s="50">
        <v>4</v>
      </c>
      <c r="E225" s="51">
        <v>528</v>
      </c>
      <c r="F225" s="34" t="s">
        <v>312</v>
      </c>
      <c r="G225" s="34" t="s">
        <v>99</v>
      </c>
      <c r="H225" s="35">
        <v>715.9</v>
      </c>
      <c r="I225" s="34" t="s">
        <v>45</v>
      </c>
      <c r="J225" s="36" t="s">
        <v>60</v>
      </c>
      <c r="K225" s="37">
        <v>188.1</v>
      </c>
      <c r="L225" s="38"/>
      <c r="M225" s="38"/>
      <c r="N225" s="38"/>
      <c r="O225" s="38"/>
      <c r="P225" s="39">
        <f t="shared" si="116"/>
        <v>188.1</v>
      </c>
      <c r="Q225" s="310">
        <f>SUM(P225:P228)</f>
        <v>1262.5</v>
      </c>
      <c r="R225" s="40">
        <v>60000</v>
      </c>
      <c r="S225" s="41">
        <f t="shared" si="125"/>
        <v>11286000</v>
      </c>
      <c r="T225" s="41"/>
      <c r="U225" s="42" t="s">
        <v>47</v>
      </c>
      <c r="V225" s="66">
        <f t="shared" si="102"/>
        <v>188.1</v>
      </c>
      <c r="W225" s="38" t="s">
        <v>48</v>
      </c>
      <c r="X225" s="41">
        <v>9500</v>
      </c>
      <c r="Y225" s="43">
        <v>1</v>
      </c>
      <c r="Z225" s="41">
        <f t="shared" si="126"/>
        <v>1786950</v>
      </c>
      <c r="AA225" s="41">
        <f t="shared" si="114"/>
        <v>1881000</v>
      </c>
      <c r="AB225" s="41">
        <f t="shared" si="127"/>
        <v>33858000</v>
      </c>
      <c r="AC225" s="38">
        <v>3</v>
      </c>
      <c r="AD225" s="44">
        <f t="shared" si="119"/>
        <v>10500000</v>
      </c>
      <c r="AE225" s="41">
        <f t="shared" si="128"/>
        <v>59311950</v>
      </c>
      <c r="AF225" s="313">
        <f>SUM(AE225:AE228)</f>
        <v>348120350</v>
      </c>
      <c r="AG225" s="45"/>
      <c r="AH225" s="67"/>
      <c r="AI225" s="67"/>
      <c r="AJ225" s="67"/>
    </row>
    <row r="226" spans="1:36" s="68" customFormat="1" ht="57.75" customHeight="1">
      <c r="A226" s="308"/>
      <c r="B226" s="33" t="s">
        <v>311</v>
      </c>
      <c r="C226" s="50">
        <v>212</v>
      </c>
      <c r="D226" s="50">
        <v>4</v>
      </c>
      <c r="E226" s="51">
        <v>156</v>
      </c>
      <c r="F226" s="34">
        <v>66</v>
      </c>
      <c r="G226" s="34">
        <v>28</v>
      </c>
      <c r="H226" s="35">
        <v>1220.9000000000001</v>
      </c>
      <c r="I226" s="34" t="s">
        <v>49</v>
      </c>
      <c r="J226" s="36" t="s">
        <v>57</v>
      </c>
      <c r="K226" s="37">
        <f>528-188.1</f>
        <v>339.9</v>
      </c>
      <c r="L226" s="38">
        <f>360.5-339.9</f>
        <v>20.600000000000023</v>
      </c>
      <c r="M226" s="38"/>
      <c r="N226" s="38"/>
      <c r="O226" s="38"/>
      <c r="P226" s="39">
        <f t="shared" si="116"/>
        <v>360.5</v>
      </c>
      <c r="Q226" s="311"/>
      <c r="R226" s="40">
        <v>60000</v>
      </c>
      <c r="S226" s="41">
        <f t="shared" si="125"/>
        <v>21630000</v>
      </c>
      <c r="T226" s="41"/>
      <c r="U226" s="42" t="s">
        <v>47</v>
      </c>
      <c r="V226" s="66">
        <f t="shared" si="102"/>
        <v>360.5</v>
      </c>
      <c r="W226" s="38" t="s">
        <v>48</v>
      </c>
      <c r="X226" s="41">
        <v>9500</v>
      </c>
      <c r="Y226" s="43">
        <v>1</v>
      </c>
      <c r="Z226" s="41">
        <f t="shared" si="126"/>
        <v>3424750</v>
      </c>
      <c r="AA226" s="41">
        <f t="shared" si="114"/>
        <v>3605000</v>
      </c>
      <c r="AB226" s="41">
        <f t="shared" si="127"/>
        <v>64890000</v>
      </c>
      <c r="AC226" s="38"/>
      <c r="AD226" s="44">
        <f t="shared" si="119"/>
        <v>0</v>
      </c>
      <c r="AE226" s="41">
        <f t="shared" si="128"/>
        <v>93549750</v>
      </c>
      <c r="AF226" s="314"/>
      <c r="AG226" s="45"/>
      <c r="AH226" s="67"/>
      <c r="AI226" s="67"/>
      <c r="AJ226" s="67"/>
    </row>
    <row r="227" spans="1:36" s="68" customFormat="1" ht="57.75" customHeight="1">
      <c r="A227" s="308"/>
      <c r="B227" s="33" t="s">
        <v>311</v>
      </c>
      <c r="C227" s="50">
        <v>212</v>
      </c>
      <c r="D227" s="50">
        <v>4</v>
      </c>
      <c r="E227" s="51">
        <v>156</v>
      </c>
      <c r="F227" s="34" t="s">
        <v>313</v>
      </c>
      <c r="G227" s="34" t="s">
        <v>99</v>
      </c>
      <c r="H227" s="35">
        <v>201.9</v>
      </c>
      <c r="I227" s="34" t="s">
        <v>49</v>
      </c>
      <c r="J227" s="36" t="s">
        <v>57</v>
      </c>
      <c r="K227" s="37">
        <f t="shared" si="134"/>
        <v>156</v>
      </c>
      <c r="L227" s="38">
        <f>187.5-156</f>
        <v>31.5</v>
      </c>
      <c r="M227" s="38"/>
      <c r="N227" s="38"/>
      <c r="O227" s="38">
        <v>14.4</v>
      </c>
      <c r="P227" s="39">
        <f t="shared" si="116"/>
        <v>201.9</v>
      </c>
      <c r="Q227" s="311"/>
      <c r="R227" s="40">
        <v>60000</v>
      </c>
      <c r="S227" s="41">
        <f t="shared" si="125"/>
        <v>12114000</v>
      </c>
      <c r="T227" s="41"/>
      <c r="U227" s="42" t="s">
        <v>47</v>
      </c>
      <c r="V227" s="66">
        <f t="shared" si="102"/>
        <v>201.9</v>
      </c>
      <c r="W227" s="38" t="s">
        <v>48</v>
      </c>
      <c r="X227" s="41">
        <v>9500</v>
      </c>
      <c r="Y227" s="43">
        <v>1</v>
      </c>
      <c r="Z227" s="41">
        <f t="shared" si="126"/>
        <v>1918050</v>
      </c>
      <c r="AA227" s="41">
        <f t="shared" si="114"/>
        <v>2019000</v>
      </c>
      <c r="AB227" s="41">
        <f t="shared" si="127"/>
        <v>36342000</v>
      </c>
      <c r="AC227" s="38"/>
      <c r="AD227" s="44">
        <f t="shared" si="119"/>
        <v>0</v>
      </c>
      <c r="AE227" s="41">
        <f t="shared" si="128"/>
        <v>52393050</v>
      </c>
      <c r="AF227" s="314"/>
      <c r="AG227" s="45"/>
      <c r="AH227" s="67"/>
      <c r="AI227" s="67"/>
      <c r="AJ227" s="67"/>
    </row>
    <row r="228" spans="1:36" s="68" customFormat="1" ht="57.75" customHeight="1">
      <c r="A228" s="309"/>
      <c r="B228" s="33" t="s">
        <v>311</v>
      </c>
      <c r="C228" s="50">
        <v>275</v>
      </c>
      <c r="D228" s="50">
        <v>4</v>
      </c>
      <c r="E228" s="51">
        <v>264</v>
      </c>
      <c r="F228" s="34" t="s">
        <v>314</v>
      </c>
      <c r="G228" s="34" t="s">
        <v>96</v>
      </c>
      <c r="H228" s="35">
        <v>512</v>
      </c>
      <c r="I228" s="34" t="s">
        <v>45</v>
      </c>
      <c r="J228" s="36" t="s">
        <v>56</v>
      </c>
      <c r="K228" s="37">
        <f t="shared" si="134"/>
        <v>264</v>
      </c>
      <c r="L228" s="38">
        <f>445.7-264</f>
        <v>181.7</v>
      </c>
      <c r="M228" s="38"/>
      <c r="N228" s="38"/>
      <c r="O228" s="38">
        <f>512-445.7</f>
        <v>66.300000000000011</v>
      </c>
      <c r="P228" s="39">
        <f t="shared" si="116"/>
        <v>512</v>
      </c>
      <c r="Q228" s="312"/>
      <c r="R228" s="40">
        <v>60000</v>
      </c>
      <c r="S228" s="41">
        <f t="shared" si="125"/>
        <v>30720000</v>
      </c>
      <c r="T228" s="41"/>
      <c r="U228" s="42" t="s">
        <v>315</v>
      </c>
      <c r="V228" s="66">
        <v>114</v>
      </c>
      <c r="W228" s="38" t="s">
        <v>52</v>
      </c>
      <c r="X228" s="41">
        <v>163000</v>
      </c>
      <c r="Y228" s="43">
        <v>0.8</v>
      </c>
      <c r="Z228" s="41">
        <f t="shared" si="126"/>
        <v>14865600</v>
      </c>
      <c r="AA228" s="41">
        <f t="shared" si="114"/>
        <v>5120000</v>
      </c>
      <c r="AB228" s="41">
        <f t="shared" si="127"/>
        <v>92160000</v>
      </c>
      <c r="AC228" s="38"/>
      <c r="AD228" s="44">
        <f t="shared" si="119"/>
        <v>0</v>
      </c>
      <c r="AE228" s="41">
        <f t="shared" si="128"/>
        <v>142865600</v>
      </c>
      <c r="AF228" s="315"/>
      <c r="AG228" s="45"/>
      <c r="AH228" s="67"/>
      <c r="AI228" s="67"/>
      <c r="AJ228" s="67"/>
    </row>
    <row r="229" spans="1:36" s="68" customFormat="1" ht="57.75" customHeight="1">
      <c r="A229" s="307">
        <v>64</v>
      </c>
      <c r="B229" s="33" t="s">
        <v>316</v>
      </c>
      <c r="C229" s="50">
        <v>123</v>
      </c>
      <c r="D229" s="50">
        <v>5</v>
      </c>
      <c r="E229" s="51">
        <v>168</v>
      </c>
      <c r="F229" s="34" t="s">
        <v>317</v>
      </c>
      <c r="G229" s="34" t="s">
        <v>99</v>
      </c>
      <c r="H229" s="35">
        <v>159.1</v>
      </c>
      <c r="I229" s="34" t="s">
        <v>49</v>
      </c>
      <c r="J229" s="36" t="s">
        <v>50</v>
      </c>
      <c r="K229" s="37">
        <v>159.1</v>
      </c>
      <c r="L229" s="38">
        <f t="shared" ref="L229:L233" si="135">H229-K229</f>
        <v>0</v>
      </c>
      <c r="M229" s="38"/>
      <c r="N229" s="38"/>
      <c r="O229" s="38"/>
      <c r="P229" s="39">
        <f t="shared" si="116"/>
        <v>159.1</v>
      </c>
      <c r="Q229" s="310">
        <f>SUM(P229:P233)</f>
        <v>1258.6999999999998</v>
      </c>
      <c r="R229" s="40">
        <v>60000</v>
      </c>
      <c r="S229" s="41">
        <f t="shared" si="125"/>
        <v>9546000</v>
      </c>
      <c r="T229" s="41"/>
      <c r="U229" s="42" t="s">
        <v>47</v>
      </c>
      <c r="V229" s="66">
        <f t="shared" ref="V229:V242" si="136">P229</f>
        <v>159.1</v>
      </c>
      <c r="W229" s="38" t="s">
        <v>48</v>
      </c>
      <c r="X229" s="41">
        <v>9500</v>
      </c>
      <c r="Y229" s="43">
        <v>1</v>
      </c>
      <c r="Z229" s="41">
        <f t="shared" si="126"/>
        <v>1511450</v>
      </c>
      <c r="AA229" s="41">
        <f t="shared" si="114"/>
        <v>1591000</v>
      </c>
      <c r="AB229" s="41">
        <f t="shared" si="127"/>
        <v>28638000</v>
      </c>
      <c r="AC229" s="38">
        <v>2</v>
      </c>
      <c r="AD229" s="44">
        <f t="shared" si="119"/>
        <v>7000000</v>
      </c>
      <c r="AE229" s="41">
        <f t="shared" si="128"/>
        <v>48286450</v>
      </c>
      <c r="AF229" s="313">
        <f>SUM(AE229:AE233)</f>
        <v>338800150</v>
      </c>
      <c r="AG229" s="45"/>
      <c r="AH229" s="67"/>
      <c r="AI229" s="67"/>
      <c r="AJ229" s="67"/>
    </row>
    <row r="230" spans="1:36" s="68" customFormat="1" ht="57.75" customHeight="1">
      <c r="A230" s="308"/>
      <c r="B230" s="33" t="s">
        <v>316</v>
      </c>
      <c r="C230" s="322">
        <v>105</v>
      </c>
      <c r="D230" s="322">
        <v>4</v>
      </c>
      <c r="E230" s="325">
        <v>816</v>
      </c>
      <c r="F230" s="34" t="s">
        <v>318</v>
      </c>
      <c r="G230" s="34" t="s">
        <v>99</v>
      </c>
      <c r="H230" s="35">
        <v>790.6</v>
      </c>
      <c r="I230" s="34" t="s">
        <v>45</v>
      </c>
      <c r="J230" s="36" t="s">
        <v>60</v>
      </c>
      <c r="K230" s="37">
        <v>790.6</v>
      </c>
      <c r="L230" s="38">
        <f t="shared" si="135"/>
        <v>0</v>
      </c>
      <c r="M230" s="38"/>
      <c r="N230" s="38"/>
      <c r="O230" s="38"/>
      <c r="P230" s="39">
        <f t="shared" si="116"/>
        <v>790.6</v>
      </c>
      <c r="Q230" s="311"/>
      <c r="R230" s="40">
        <v>60000</v>
      </c>
      <c r="S230" s="41">
        <f t="shared" si="125"/>
        <v>47436000</v>
      </c>
      <c r="T230" s="41"/>
      <c r="U230" s="42" t="s">
        <v>47</v>
      </c>
      <c r="V230" s="66">
        <f t="shared" si="136"/>
        <v>790.6</v>
      </c>
      <c r="W230" s="38" t="s">
        <v>48</v>
      </c>
      <c r="X230" s="41">
        <v>9500</v>
      </c>
      <c r="Y230" s="43">
        <v>1</v>
      </c>
      <c r="Z230" s="41">
        <f t="shared" si="126"/>
        <v>7510700</v>
      </c>
      <c r="AA230" s="41">
        <f t="shared" si="114"/>
        <v>7906000</v>
      </c>
      <c r="AB230" s="41">
        <f t="shared" si="127"/>
        <v>142308000</v>
      </c>
      <c r="AC230" s="38"/>
      <c r="AD230" s="44">
        <f t="shared" si="119"/>
        <v>0</v>
      </c>
      <c r="AE230" s="41">
        <f t="shared" si="128"/>
        <v>205160700</v>
      </c>
      <c r="AF230" s="314"/>
      <c r="AG230" s="45"/>
      <c r="AH230" s="67"/>
      <c r="AI230" s="67"/>
      <c r="AJ230" s="67"/>
    </row>
    <row r="231" spans="1:36" s="68" customFormat="1" ht="57.75" customHeight="1">
      <c r="A231" s="308"/>
      <c r="B231" s="33" t="s">
        <v>316</v>
      </c>
      <c r="C231" s="324"/>
      <c r="D231" s="324"/>
      <c r="E231" s="327"/>
      <c r="F231" s="34">
        <v>199</v>
      </c>
      <c r="G231" s="34">
        <v>28</v>
      </c>
      <c r="H231" s="35">
        <v>197.2</v>
      </c>
      <c r="I231" s="34" t="s">
        <v>45</v>
      </c>
      <c r="J231" s="36" t="s">
        <v>60</v>
      </c>
      <c r="K231" s="37">
        <v>70.400000000000006</v>
      </c>
      <c r="L231" s="38"/>
      <c r="M231" s="38"/>
      <c r="N231" s="38"/>
      <c r="O231" s="38"/>
      <c r="P231" s="39">
        <f t="shared" si="116"/>
        <v>70.400000000000006</v>
      </c>
      <c r="Q231" s="311"/>
      <c r="R231" s="40">
        <v>60000</v>
      </c>
      <c r="S231" s="41">
        <f t="shared" si="125"/>
        <v>4224000</v>
      </c>
      <c r="T231" s="41"/>
      <c r="U231" s="42" t="s">
        <v>47</v>
      </c>
      <c r="V231" s="66">
        <f t="shared" si="136"/>
        <v>70.400000000000006</v>
      </c>
      <c r="W231" s="38" t="s">
        <v>48</v>
      </c>
      <c r="X231" s="41">
        <v>9500</v>
      </c>
      <c r="Y231" s="43">
        <v>1</v>
      </c>
      <c r="Z231" s="41">
        <f t="shared" si="126"/>
        <v>668800</v>
      </c>
      <c r="AA231" s="41">
        <f t="shared" si="114"/>
        <v>704000</v>
      </c>
      <c r="AB231" s="41">
        <f t="shared" si="127"/>
        <v>12672000</v>
      </c>
      <c r="AC231" s="38"/>
      <c r="AD231" s="44">
        <f t="shared" si="119"/>
        <v>0</v>
      </c>
      <c r="AE231" s="41">
        <f t="shared" si="128"/>
        <v>18268800</v>
      </c>
      <c r="AF231" s="314"/>
      <c r="AG231" s="45"/>
      <c r="AH231" s="67"/>
      <c r="AI231" s="67"/>
      <c r="AJ231" s="67"/>
    </row>
    <row r="232" spans="1:36" s="68" customFormat="1" ht="57.75" customHeight="1">
      <c r="A232" s="308"/>
      <c r="B232" s="33" t="s">
        <v>316</v>
      </c>
      <c r="C232" s="50">
        <v>115</v>
      </c>
      <c r="D232" s="50">
        <v>4</v>
      </c>
      <c r="E232" s="51">
        <v>168</v>
      </c>
      <c r="F232" s="34" t="s">
        <v>319</v>
      </c>
      <c r="G232" s="34" t="s">
        <v>99</v>
      </c>
      <c r="H232" s="35">
        <v>211</v>
      </c>
      <c r="I232" s="34" t="s">
        <v>49</v>
      </c>
      <c r="J232" s="36" t="s">
        <v>111</v>
      </c>
      <c r="K232" s="37">
        <f t="shared" ref="K232" si="137">E232</f>
        <v>168</v>
      </c>
      <c r="L232" s="38">
        <f t="shared" si="135"/>
        <v>43</v>
      </c>
      <c r="M232" s="38"/>
      <c r="N232" s="38"/>
      <c r="O232" s="38"/>
      <c r="P232" s="39">
        <f t="shared" si="116"/>
        <v>211</v>
      </c>
      <c r="Q232" s="311"/>
      <c r="R232" s="40">
        <v>60000</v>
      </c>
      <c r="S232" s="41">
        <f t="shared" si="125"/>
        <v>12660000</v>
      </c>
      <c r="T232" s="41"/>
      <c r="U232" s="42" t="s">
        <v>188</v>
      </c>
      <c r="V232" s="66">
        <v>55</v>
      </c>
      <c r="W232" s="38" t="s">
        <v>52</v>
      </c>
      <c r="X232" s="41">
        <v>163000</v>
      </c>
      <c r="Y232" s="43">
        <v>0.8</v>
      </c>
      <c r="Z232" s="41">
        <f t="shared" si="126"/>
        <v>7172000</v>
      </c>
      <c r="AA232" s="41">
        <f t="shared" si="114"/>
        <v>2110000</v>
      </c>
      <c r="AB232" s="41">
        <f t="shared" si="127"/>
        <v>37980000</v>
      </c>
      <c r="AC232" s="38"/>
      <c r="AD232" s="44">
        <f t="shared" si="119"/>
        <v>0</v>
      </c>
      <c r="AE232" s="41">
        <f t="shared" si="128"/>
        <v>59922000</v>
      </c>
      <c r="AF232" s="314"/>
      <c r="AG232" s="45"/>
      <c r="AH232" s="67"/>
      <c r="AI232" s="67"/>
      <c r="AJ232" s="67"/>
    </row>
    <row r="233" spans="1:36" s="68" customFormat="1" ht="52.5" customHeight="1">
      <c r="A233" s="309"/>
      <c r="B233" s="33" t="s">
        <v>316</v>
      </c>
      <c r="C233" s="50"/>
      <c r="D233" s="50"/>
      <c r="E233" s="51"/>
      <c r="F233" s="34">
        <v>349</v>
      </c>
      <c r="G233" s="34">
        <v>28</v>
      </c>
      <c r="H233" s="35">
        <v>27.6</v>
      </c>
      <c r="I233" s="34" t="s">
        <v>49</v>
      </c>
      <c r="J233" s="36" t="s">
        <v>111</v>
      </c>
      <c r="K233" s="37"/>
      <c r="L233" s="38">
        <f t="shared" si="135"/>
        <v>27.6</v>
      </c>
      <c r="M233" s="38"/>
      <c r="N233" s="38"/>
      <c r="O233" s="38"/>
      <c r="P233" s="39">
        <f t="shared" si="116"/>
        <v>27.6</v>
      </c>
      <c r="Q233" s="312"/>
      <c r="R233" s="40">
        <v>60000</v>
      </c>
      <c r="S233" s="41">
        <f t="shared" si="125"/>
        <v>1656000</v>
      </c>
      <c r="T233" s="41"/>
      <c r="U233" s="42" t="s">
        <v>47</v>
      </c>
      <c r="V233" s="66">
        <f t="shared" si="136"/>
        <v>27.6</v>
      </c>
      <c r="W233" s="38" t="s">
        <v>48</v>
      </c>
      <c r="X233" s="41">
        <v>9500</v>
      </c>
      <c r="Y233" s="43">
        <v>1</v>
      </c>
      <c r="Z233" s="41">
        <f t="shared" si="126"/>
        <v>262200</v>
      </c>
      <c r="AA233" s="41">
        <f t="shared" si="114"/>
        <v>276000</v>
      </c>
      <c r="AB233" s="41">
        <f t="shared" si="127"/>
        <v>4968000</v>
      </c>
      <c r="AC233" s="38"/>
      <c r="AD233" s="44">
        <f t="shared" si="119"/>
        <v>0</v>
      </c>
      <c r="AE233" s="41">
        <f t="shared" si="128"/>
        <v>7162200</v>
      </c>
      <c r="AF233" s="315"/>
      <c r="AG233" s="45"/>
      <c r="AH233" s="67"/>
      <c r="AI233" s="67"/>
      <c r="AJ233" s="67"/>
    </row>
    <row r="234" spans="1:36" s="68" customFormat="1" ht="57.75" customHeight="1">
      <c r="A234" s="307">
        <v>65</v>
      </c>
      <c r="B234" s="33" t="s">
        <v>320</v>
      </c>
      <c r="C234" s="50">
        <v>80</v>
      </c>
      <c r="D234" s="50">
        <v>4</v>
      </c>
      <c r="E234" s="51">
        <v>720</v>
      </c>
      <c r="F234" s="34" t="s">
        <v>321</v>
      </c>
      <c r="G234" s="34" t="s">
        <v>99</v>
      </c>
      <c r="H234" s="35">
        <v>785.6</v>
      </c>
      <c r="I234" s="34" t="s">
        <v>45</v>
      </c>
      <c r="J234" s="36" t="s">
        <v>60</v>
      </c>
      <c r="K234" s="37">
        <f t="shared" si="134"/>
        <v>720</v>
      </c>
      <c r="L234" s="38">
        <f>H234-K234</f>
        <v>65.600000000000023</v>
      </c>
      <c r="M234" s="38"/>
      <c r="N234" s="38"/>
      <c r="O234" s="38"/>
      <c r="P234" s="39">
        <f t="shared" si="116"/>
        <v>785.6</v>
      </c>
      <c r="Q234" s="310">
        <f>SUM(P234:P235)</f>
        <v>907</v>
      </c>
      <c r="R234" s="40">
        <v>60000</v>
      </c>
      <c r="S234" s="41">
        <f t="shared" si="125"/>
        <v>47136000</v>
      </c>
      <c r="T234" s="41"/>
      <c r="U234" s="42" t="s">
        <v>47</v>
      </c>
      <c r="V234" s="66">
        <f t="shared" si="136"/>
        <v>785.6</v>
      </c>
      <c r="W234" s="38" t="s">
        <v>48</v>
      </c>
      <c r="X234" s="41">
        <v>9500</v>
      </c>
      <c r="Y234" s="43">
        <v>1</v>
      </c>
      <c r="Z234" s="41">
        <f t="shared" si="126"/>
        <v>7463200</v>
      </c>
      <c r="AA234" s="41">
        <f t="shared" si="114"/>
        <v>7856000</v>
      </c>
      <c r="AB234" s="41">
        <f t="shared" si="127"/>
        <v>141408000</v>
      </c>
      <c r="AC234" s="38">
        <v>2</v>
      </c>
      <c r="AD234" s="44">
        <f t="shared" si="119"/>
        <v>7000000</v>
      </c>
      <c r="AE234" s="41">
        <f t="shared" si="128"/>
        <v>210863200</v>
      </c>
      <c r="AF234" s="313">
        <f>SUM(AE234:AE236)</f>
        <v>242366500</v>
      </c>
      <c r="AG234" s="45"/>
      <c r="AH234" s="67"/>
      <c r="AI234" s="67"/>
      <c r="AJ234" s="67"/>
    </row>
    <row r="235" spans="1:36" s="68" customFormat="1" ht="57.75" customHeight="1">
      <c r="A235" s="308"/>
      <c r="B235" s="33" t="s">
        <v>320</v>
      </c>
      <c r="C235" s="50"/>
      <c r="D235" s="50"/>
      <c r="E235" s="51"/>
      <c r="F235" s="34" t="s">
        <v>322</v>
      </c>
      <c r="G235" s="34" t="s">
        <v>99</v>
      </c>
      <c r="H235" s="35">
        <v>121.4</v>
      </c>
      <c r="I235" s="34" t="s">
        <v>55</v>
      </c>
      <c r="J235" s="36" t="s">
        <v>60</v>
      </c>
      <c r="K235" s="37"/>
      <c r="L235" s="38">
        <f>H235-K235</f>
        <v>121.4</v>
      </c>
      <c r="M235" s="38"/>
      <c r="N235" s="38"/>
      <c r="O235" s="38"/>
      <c r="P235" s="39">
        <f t="shared" si="116"/>
        <v>121.4</v>
      </c>
      <c r="Q235" s="311"/>
      <c r="R235" s="40">
        <v>60000</v>
      </c>
      <c r="S235" s="41">
        <f t="shared" si="125"/>
        <v>7284000</v>
      </c>
      <c r="T235" s="41"/>
      <c r="U235" s="42" t="s">
        <v>47</v>
      </c>
      <c r="V235" s="66">
        <f t="shared" si="136"/>
        <v>121.4</v>
      </c>
      <c r="W235" s="38" t="s">
        <v>48</v>
      </c>
      <c r="X235" s="41">
        <v>9500</v>
      </c>
      <c r="Y235" s="43">
        <v>1</v>
      </c>
      <c r="Z235" s="41">
        <f t="shared" si="126"/>
        <v>1153300</v>
      </c>
      <c r="AA235" s="41">
        <f t="shared" si="114"/>
        <v>1214000</v>
      </c>
      <c r="AB235" s="41">
        <f t="shared" si="127"/>
        <v>21852000</v>
      </c>
      <c r="AC235" s="38"/>
      <c r="AD235" s="44">
        <f t="shared" si="119"/>
        <v>0</v>
      </c>
      <c r="AE235" s="41">
        <f t="shared" si="128"/>
        <v>31503300</v>
      </c>
      <c r="AF235" s="314"/>
      <c r="AG235" s="45"/>
      <c r="AH235" s="67"/>
      <c r="AI235" s="67"/>
      <c r="AJ235" s="67"/>
    </row>
    <row r="236" spans="1:36" s="68" customFormat="1" ht="57.75" customHeight="1">
      <c r="A236" s="309"/>
      <c r="B236" s="33" t="s">
        <v>320</v>
      </c>
      <c r="C236" s="50"/>
      <c r="D236" s="50"/>
      <c r="E236" s="51"/>
      <c r="F236" s="34" t="s">
        <v>322</v>
      </c>
      <c r="G236" s="34" t="s">
        <v>99</v>
      </c>
      <c r="H236" s="35">
        <v>121.4</v>
      </c>
      <c r="I236" s="34" t="s">
        <v>55</v>
      </c>
      <c r="J236" s="36" t="s">
        <v>60</v>
      </c>
      <c r="K236" s="37"/>
      <c r="L236" s="38"/>
      <c r="M236" s="38"/>
      <c r="N236" s="38"/>
      <c r="O236" s="38"/>
      <c r="P236" s="39">
        <f t="shared" si="116"/>
        <v>0</v>
      </c>
      <c r="Q236" s="312"/>
      <c r="R236" s="40"/>
      <c r="S236" s="41"/>
      <c r="T236" s="41"/>
      <c r="U236" s="42" t="s">
        <v>220</v>
      </c>
      <c r="V236" s="66"/>
      <c r="W236" s="38"/>
      <c r="X236" s="41"/>
      <c r="Y236" s="43"/>
      <c r="Z236" s="41"/>
      <c r="AA236" s="41"/>
      <c r="AB236" s="41"/>
      <c r="AC236" s="38"/>
      <c r="AD236" s="44">
        <f t="shared" si="119"/>
        <v>0</v>
      </c>
      <c r="AE236" s="41">
        <f t="shared" si="128"/>
        <v>0</v>
      </c>
      <c r="AF236" s="315"/>
      <c r="AG236" s="45" t="s">
        <v>174</v>
      </c>
      <c r="AH236" s="67"/>
      <c r="AI236" s="67"/>
      <c r="AJ236" s="67"/>
    </row>
    <row r="237" spans="1:36" s="68" customFormat="1" ht="57.75" customHeight="1">
      <c r="A237" s="307">
        <v>66</v>
      </c>
      <c r="B237" s="33" t="s">
        <v>323</v>
      </c>
      <c r="C237" s="50">
        <v>79</v>
      </c>
      <c r="D237" s="50">
        <v>4</v>
      </c>
      <c r="E237" s="51">
        <v>828</v>
      </c>
      <c r="F237" s="34" t="s">
        <v>324</v>
      </c>
      <c r="G237" s="34" t="s">
        <v>99</v>
      </c>
      <c r="H237" s="35">
        <v>1220.9000000000001</v>
      </c>
      <c r="I237" s="34" t="s">
        <v>45</v>
      </c>
      <c r="J237" s="36" t="s">
        <v>60</v>
      </c>
      <c r="K237" s="37">
        <f t="shared" si="134"/>
        <v>828</v>
      </c>
      <c r="L237" s="38">
        <v>32.4</v>
      </c>
      <c r="M237" s="38"/>
      <c r="N237" s="38"/>
      <c r="O237" s="38"/>
      <c r="P237" s="39">
        <f t="shared" si="116"/>
        <v>860.4</v>
      </c>
      <c r="Q237" s="310">
        <f>SUM(P237:P238)</f>
        <v>908.4</v>
      </c>
      <c r="R237" s="40">
        <v>60000</v>
      </c>
      <c r="S237" s="41">
        <f t="shared" ref="S237:S238" si="138">P237*R237</f>
        <v>51624000</v>
      </c>
      <c r="T237" s="41"/>
      <c r="U237" s="42" t="s">
        <v>47</v>
      </c>
      <c r="V237" s="66">
        <f t="shared" si="136"/>
        <v>860.4</v>
      </c>
      <c r="W237" s="38" t="s">
        <v>48</v>
      </c>
      <c r="X237" s="41">
        <v>9500</v>
      </c>
      <c r="Y237" s="43">
        <v>1</v>
      </c>
      <c r="Z237" s="41">
        <f t="shared" si="126"/>
        <v>8173800</v>
      </c>
      <c r="AA237" s="41">
        <f t="shared" ref="AA237:AA238" si="139">P237*10000</f>
        <v>8604000</v>
      </c>
      <c r="AB237" s="41">
        <f t="shared" si="127"/>
        <v>154872000</v>
      </c>
      <c r="AC237" s="38">
        <v>2</v>
      </c>
      <c r="AD237" s="44">
        <f t="shared" si="119"/>
        <v>7000000</v>
      </c>
      <c r="AE237" s="41">
        <f t="shared" si="128"/>
        <v>230273800</v>
      </c>
      <c r="AF237" s="313">
        <f>SUM(AE237:AE238)</f>
        <v>243708200</v>
      </c>
      <c r="AG237" s="45"/>
      <c r="AH237" s="67"/>
      <c r="AI237" s="67"/>
      <c r="AJ237" s="67"/>
    </row>
    <row r="238" spans="1:36" s="68" customFormat="1" ht="57.75" customHeight="1">
      <c r="A238" s="309"/>
      <c r="B238" s="33" t="s">
        <v>325</v>
      </c>
      <c r="C238" s="50">
        <v>86</v>
      </c>
      <c r="D238" s="50">
        <v>5</v>
      </c>
      <c r="E238" s="51">
        <v>48</v>
      </c>
      <c r="F238" s="34">
        <v>124</v>
      </c>
      <c r="G238" s="34" t="s">
        <v>99</v>
      </c>
      <c r="H238" s="35">
        <v>261.89999999999998</v>
      </c>
      <c r="I238" s="34" t="s">
        <v>55</v>
      </c>
      <c r="J238" s="36" t="s">
        <v>60</v>
      </c>
      <c r="K238" s="37">
        <f t="shared" si="134"/>
        <v>48</v>
      </c>
      <c r="L238" s="38"/>
      <c r="M238" s="38"/>
      <c r="N238" s="38"/>
      <c r="O238" s="38"/>
      <c r="P238" s="39">
        <f t="shared" si="116"/>
        <v>48</v>
      </c>
      <c r="Q238" s="312"/>
      <c r="R238" s="40">
        <v>60000</v>
      </c>
      <c r="S238" s="41">
        <f t="shared" si="138"/>
        <v>2880000</v>
      </c>
      <c r="T238" s="41"/>
      <c r="U238" s="42" t="s">
        <v>188</v>
      </c>
      <c r="V238" s="66">
        <v>11</v>
      </c>
      <c r="W238" s="38" t="s">
        <v>52</v>
      </c>
      <c r="X238" s="41">
        <v>163000</v>
      </c>
      <c r="Y238" s="43">
        <v>0.8</v>
      </c>
      <c r="Z238" s="41">
        <f t="shared" si="126"/>
        <v>1434400</v>
      </c>
      <c r="AA238" s="41">
        <f t="shared" si="139"/>
        <v>480000</v>
      </c>
      <c r="AB238" s="41">
        <f t="shared" si="127"/>
        <v>8640000</v>
      </c>
      <c r="AC238" s="38"/>
      <c r="AD238" s="44">
        <f t="shared" si="119"/>
        <v>0</v>
      </c>
      <c r="AE238" s="41">
        <f t="shared" si="128"/>
        <v>13434400</v>
      </c>
      <c r="AF238" s="315"/>
      <c r="AG238" s="45"/>
      <c r="AH238" s="67"/>
      <c r="AI238" s="67"/>
      <c r="AJ238" s="67"/>
    </row>
    <row r="239" spans="1:36" s="155" customFormat="1" ht="57.75" customHeight="1">
      <c r="A239" s="307">
        <v>67</v>
      </c>
      <c r="B239" s="33" t="s">
        <v>326</v>
      </c>
      <c r="C239" s="50"/>
      <c r="D239" s="50"/>
      <c r="E239" s="51"/>
      <c r="F239" s="34" t="s">
        <v>327</v>
      </c>
      <c r="G239" s="34" t="s">
        <v>96</v>
      </c>
      <c r="H239" s="35">
        <v>200.3</v>
      </c>
      <c r="I239" s="34" t="s">
        <v>45</v>
      </c>
      <c r="J239" s="36" t="s">
        <v>56</v>
      </c>
      <c r="K239" s="37"/>
      <c r="L239" s="38"/>
      <c r="M239" s="38">
        <v>65.599999999999994</v>
      </c>
      <c r="N239" s="38"/>
      <c r="O239" s="38"/>
      <c r="P239" s="39">
        <f t="shared" si="116"/>
        <v>65.599999999999994</v>
      </c>
      <c r="Q239" s="310">
        <f>SUM(P239:P244)</f>
        <v>830.7</v>
      </c>
      <c r="R239" s="40">
        <v>55000</v>
      </c>
      <c r="S239" s="41">
        <f>P239*R239</f>
        <v>3607999.9999999995</v>
      </c>
      <c r="T239" s="41"/>
      <c r="U239" s="42" t="s">
        <v>328</v>
      </c>
      <c r="V239" s="66">
        <v>14</v>
      </c>
      <c r="W239" s="38" t="s">
        <v>52</v>
      </c>
      <c r="X239" s="41">
        <v>118000</v>
      </c>
      <c r="Y239" s="43">
        <v>1</v>
      </c>
      <c r="Z239" s="41">
        <f t="shared" si="126"/>
        <v>1652000</v>
      </c>
      <c r="AA239" s="41">
        <f>P239*7000</f>
        <v>459199.99999999994</v>
      </c>
      <c r="AB239" s="41">
        <f>P239*R239*3</f>
        <v>10823999.999999998</v>
      </c>
      <c r="AC239" s="38"/>
      <c r="AD239" s="44"/>
      <c r="AE239" s="41">
        <f t="shared" si="128"/>
        <v>16543199.999999998</v>
      </c>
      <c r="AF239" s="313">
        <f>SUM(AE239:AE244)</f>
        <v>223163700</v>
      </c>
      <c r="AG239" s="45" t="s">
        <v>329</v>
      </c>
      <c r="AH239" s="154"/>
      <c r="AI239" s="154"/>
      <c r="AJ239" s="154"/>
    </row>
    <row r="240" spans="1:36" s="155" customFormat="1" ht="57.75" customHeight="1">
      <c r="A240" s="308"/>
      <c r="B240" s="33" t="s">
        <v>326</v>
      </c>
      <c r="C240" s="50">
        <v>98</v>
      </c>
      <c r="D240" s="50">
        <v>5</v>
      </c>
      <c r="E240" s="51">
        <v>72</v>
      </c>
      <c r="F240" s="34" t="s">
        <v>330</v>
      </c>
      <c r="G240" s="34" t="s">
        <v>99</v>
      </c>
      <c r="H240" s="35">
        <v>145.80000000000001</v>
      </c>
      <c r="I240" s="34" t="s">
        <v>55</v>
      </c>
      <c r="J240" s="36" t="s">
        <v>56</v>
      </c>
      <c r="K240" s="37">
        <f t="shared" si="134"/>
        <v>72</v>
      </c>
      <c r="L240" s="38">
        <f t="shared" ref="L240:L258" si="140">H240-K240</f>
        <v>73.800000000000011</v>
      </c>
      <c r="M240" s="38"/>
      <c r="N240" s="38"/>
      <c r="O240" s="38"/>
      <c r="P240" s="39">
        <f t="shared" si="116"/>
        <v>145.80000000000001</v>
      </c>
      <c r="Q240" s="311"/>
      <c r="R240" s="40">
        <v>60000</v>
      </c>
      <c r="S240" s="41">
        <f t="shared" ref="S240:S243" si="141">P240*R240</f>
        <v>8748000</v>
      </c>
      <c r="T240" s="41"/>
      <c r="U240" s="42" t="s">
        <v>328</v>
      </c>
      <c r="V240" s="66">
        <v>32</v>
      </c>
      <c r="W240" s="38" t="s">
        <v>52</v>
      </c>
      <c r="X240" s="41">
        <v>118000</v>
      </c>
      <c r="Y240" s="43">
        <v>0.8</v>
      </c>
      <c r="Z240" s="41">
        <f t="shared" si="126"/>
        <v>3020800</v>
      </c>
      <c r="AA240" s="41">
        <f t="shared" ref="AA240:AA243" si="142">P240*10000</f>
        <v>1458000</v>
      </c>
      <c r="AB240" s="41">
        <f t="shared" si="127"/>
        <v>26244000</v>
      </c>
      <c r="AC240" s="38">
        <v>1</v>
      </c>
      <c r="AD240" s="44">
        <f t="shared" si="119"/>
        <v>3500000</v>
      </c>
      <c r="AE240" s="41">
        <f t="shared" si="128"/>
        <v>42970800</v>
      </c>
      <c r="AF240" s="314"/>
      <c r="AG240" s="45" t="s">
        <v>331</v>
      </c>
      <c r="AH240" s="154"/>
      <c r="AI240" s="154"/>
      <c r="AJ240" s="154"/>
    </row>
    <row r="241" spans="1:36" s="155" customFormat="1" ht="57.75" customHeight="1">
      <c r="A241" s="308"/>
      <c r="B241" s="33" t="s">
        <v>326</v>
      </c>
      <c r="C241" s="72">
        <v>106</v>
      </c>
      <c r="D241" s="72">
        <v>5</v>
      </c>
      <c r="E241" s="73">
        <v>360</v>
      </c>
      <c r="F241" s="34" t="s">
        <v>332</v>
      </c>
      <c r="G241" s="34" t="s">
        <v>99</v>
      </c>
      <c r="H241" s="35">
        <v>384.2</v>
      </c>
      <c r="I241" s="34" t="s">
        <v>45</v>
      </c>
      <c r="J241" s="36" t="s">
        <v>60</v>
      </c>
      <c r="K241" s="37">
        <v>309.7</v>
      </c>
      <c r="L241" s="38"/>
      <c r="M241" s="38"/>
      <c r="N241" s="38"/>
      <c r="O241" s="38"/>
      <c r="P241" s="39">
        <f t="shared" si="116"/>
        <v>309.7</v>
      </c>
      <c r="Q241" s="311"/>
      <c r="R241" s="40">
        <v>60000</v>
      </c>
      <c r="S241" s="41">
        <f t="shared" si="141"/>
        <v>18582000</v>
      </c>
      <c r="T241" s="41"/>
      <c r="U241" s="42" t="s">
        <v>47</v>
      </c>
      <c r="V241" s="66">
        <f t="shared" ref="V241" si="143">P241</f>
        <v>309.7</v>
      </c>
      <c r="W241" s="38" t="s">
        <v>48</v>
      </c>
      <c r="X241" s="41">
        <v>9500</v>
      </c>
      <c r="Y241" s="43">
        <v>1</v>
      </c>
      <c r="Z241" s="41">
        <f t="shared" si="126"/>
        <v>2942150</v>
      </c>
      <c r="AA241" s="41">
        <f t="shared" si="142"/>
        <v>3097000</v>
      </c>
      <c r="AB241" s="41">
        <f t="shared" si="127"/>
        <v>55746000</v>
      </c>
      <c r="AC241" s="38"/>
      <c r="AD241" s="44">
        <f t="shared" si="119"/>
        <v>0</v>
      </c>
      <c r="AE241" s="41">
        <f t="shared" si="128"/>
        <v>80367150</v>
      </c>
      <c r="AF241" s="314"/>
      <c r="AG241" s="45"/>
      <c r="AH241" s="154"/>
      <c r="AI241" s="154"/>
      <c r="AJ241" s="154"/>
    </row>
    <row r="242" spans="1:36" s="155" customFormat="1" ht="57.75" customHeight="1">
      <c r="A242" s="308"/>
      <c r="B242" s="33" t="s">
        <v>326</v>
      </c>
      <c r="C242" s="77"/>
      <c r="D242" s="77"/>
      <c r="E242" s="78"/>
      <c r="F242" s="34">
        <v>225</v>
      </c>
      <c r="G242" s="34" t="s">
        <v>99</v>
      </c>
      <c r="H242" s="35">
        <v>567.79999999999995</v>
      </c>
      <c r="I242" s="34" t="s">
        <v>45</v>
      </c>
      <c r="J242" s="36" t="s">
        <v>60</v>
      </c>
      <c r="K242" s="37">
        <f>360-309.7</f>
        <v>50.300000000000011</v>
      </c>
      <c r="L242" s="38">
        <f>61.7-50.3</f>
        <v>11.400000000000006</v>
      </c>
      <c r="M242" s="38"/>
      <c r="N242" s="38"/>
      <c r="O242" s="38"/>
      <c r="P242" s="39">
        <f t="shared" si="116"/>
        <v>61.700000000000017</v>
      </c>
      <c r="Q242" s="311"/>
      <c r="R242" s="40">
        <v>60000</v>
      </c>
      <c r="S242" s="41">
        <f t="shared" si="141"/>
        <v>3702000.0000000009</v>
      </c>
      <c r="T242" s="41"/>
      <c r="U242" s="42" t="s">
        <v>47</v>
      </c>
      <c r="V242" s="66">
        <f t="shared" si="136"/>
        <v>61.700000000000017</v>
      </c>
      <c r="W242" s="38" t="s">
        <v>48</v>
      </c>
      <c r="X242" s="41">
        <v>9500</v>
      </c>
      <c r="Y242" s="43">
        <v>1</v>
      </c>
      <c r="Z242" s="41">
        <f t="shared" si="126"/>
        <v>586150.00000000012</v>
      </c>
      <c r="AA242" s="41">
        <f t="shared" si="142"/>
        <v>617000.00000000012</v>
      </c>
      <c r="AB242" s="41">
        <f t="shared" si="127"/>
        <v>11106000.000000004</v>
      </c>
      <c r="AC242" s="38"/>
      <c r="AD242" s="44">
        <f t="shared" si="119"/>
        <v>0</v>
      </c>
      <c r="AE242" s="41">
        <f t="shared" si="128"/>
        <v>16011150.000000004</v>
      </c>
      <c r="AF242" s="314"/>
      <c r="AG242" s="45"/>
      <c r="AH242" s="154"/>
      <c r="AI242" s="154"/>
      <c r="AJ242" s="154"/>
    </row>
    <row r="243" spans="1:36" s="155" customFormat="1" ht="57.75" customHeight="1">
      <c r="A243" s="308"/>
      <c r="B243" s="33" t="s">
        <v>326</v>
      </c>
      <c r="C243" s="50">
        <v>83</v>
      </c>
      <c r="D243" s="50">
        <v>4</v>
      </c>
      <c r="E243" s="51">
        <v>120</v>
      </c>
      <c r="F243" s="34" t="s">
        <v>333</v>
      </c>
      <c r="G243" s="34" t="s">
        <v>99</v>
      </c>
      <c r="H243" s="35">
        <v>129.5</v>
      </c>
      <c r="I243" s="34" t="s">
        <v>49</v>
      </c>
      <c r="J243" s="36" t="s">
        <v>50</v>
      </c>
      <c r="K243" s="37">
        <f t="shared" si="134"/>
        <v>120</v>
      </c>
      <c r="L243" s="38">
        <f t="shared" si="140"/>
        <v>9.5</v>
      </c>
      <c r="M243" s="38"/>
      <c r="N243" s="38"/>
      <c r="O243" s="38"/>
      <c r="P243" s="39">
        <f t="shared" si="116"/>
        <v>129.5</v>
      </c>
      <c r="Q243" s="311"/>
      <c r="R243" s="40">
        <v>60000</v>
      </c>
      <c r="S243" s="41">
        <f t="shared" si="141"/>
        <v>7770000</v>
      </c>
      <c r="T243" s="41"/>
      <c r="U243" s="42" t="s">
        <v>68</v>
      </c>
      <c r="V243" s="66">
        <v>29</v>
      </c>
      <c r="W243" s="38" t="s">
        <v>52</v>
      </c>
      <c r="X243" s="41">
        <v>163000</v>
      </c>
      <c r="Y243" s="43">
        <v>0.8</v>
      </c>
      <c r="Z243" s="41">
        <f t="shared" si="126"/>
        <v>3781600</v>
      </c>
      <c r="AA243" s="41">
        <f t="shared" si="142"/>
        <v>1295000</v>
      </c>
      <c r="AB243" s="41">
        <f t="shared" si="127"/>
        <v>23310000</v>
      </c>
      <c r="AC243" s="38"/>
      <c r="AD243" s="44">
        <f t="shared" si="119"/>
        <v>0</v>
      </c>
      <c r="AE243" s="41">
        <f t="shared" si="128"/>
        <v>36156600</v>
      </c>
      <c r="AF243" s="314"/>
      <c r="AG243" s="45" t="s">
        <v>334</v>
      </c>
      <c r="AH243" s="154"/>
      <c r="AI243" s="154"/>
      <c r="AJ243" s="154"/>
    </row>
    <row r="244" spans="1:36" s="155" customFormat="1" ht="57.75" customHeight="1">
      <c r="A244" s="309"/>
      <c r="B244" s="33" t="s">
        <v>326</v>
      </c>
      <c r="C244" s="50"/>
      <c r="D244" s="50"/>
      <c r="E244" s="51"/>
      <c r="F244" s="34">
        <v>65</v>
      </c>
      <c r="G244" s="34">
        <v>28</v>
      </c>
      <c r="H244" s="35">
        <v>118.4</v>
      </c>
      <c r="I244" s="34" t="s">
        <v>55</v>
      </c>
      <c r="J244" s="36" t="s">
        <v>56</v>
      </c>
      <c r="K244" s="37"/>
      <c r="L244" s="38"/>
      <c r="M244" s="38">
        <v>118.4</v>
      </c>
      <c r="N244" s="38"/>
      <c r="O244" s="38"/>
      <c r="P244" s="39">
        <f t="shared" si="116"/>
        <v>118.4</v>
      </c>
      <c r="Q244" s="312"/>
      <c r="R244" s="40">
        <v>55000</v>
      </c>
      <c r="S244" s="41">
        <f t="shared" si="125"/>
        <v>6512000</v>
      </c>
      <c r="T244" s="41"/>
      <c r="U244" s="42" t="s">
        <v>164</v>
      </c>
      <c r="V244" s="66">
        <v>26</v>
      </c>
      <c r="W244" s="38" t="s">
        <v>52</v>
      </c>
      <c r="X244" s="41">
        <v>163000</v>
      </c>
      <c r="Y244" s="43">
        <v>1</v>
      </c>
      <c r="Z244" s="41">
        <f t="shared" si="126"/>
        <v>4238000</v>
      </c>
      <c r="AA244" s="41">
        <f t="shared" ref="AA244:AA245" si="144">P244*7000</f>
        <v>828800</v>
      </c>
      <c r="AB244" s="41">
        <f t="shared" si="127"/>
        <v>19536000</v>
      </c>
      <c r="AC244" s="38"/>
      <c r="AD244" s="44">
        <f t="shared" si="119"/>
        <v>0</v>
      </c>
      <c r="AE244" s="41">
        <f t="shared" si="128"/>
        <v>31114800</v>
      </c>
      <c r="AF244" s="315"/>
      <c r="AG244" s="45"/>
      <c r="AH244" s="154"/>
      <c r="AI244" s="154"/>
      <c r="AJ244" s="154"/>
    </row>
    <row r="245" spans="1:36" s="47" customFormat="1" ht="57.75" customHeight="1">
      <c r="A245" s="307">
        <v>68</v>
      </c>
      <c r="B245" s="33" t="s">
        <v>335</v>
      </c>
      <c r="C245" s="50"/>
      <c r="D245" s="50"/>
      <c r="E245" s="51"/>
      <c r="F245" s="34">
        <v>18</v>
      </c>
      <c r="G245" s="34" t="s">
        <v>99</v>
      </c>
      <c r="H245" s="35">
        <v>286</v>
      </c>
      <c r="I245" s="34" t="s">
        <v>45</v>
      </c>
      <c r="J245" s="36" t="s">
        <v>54</v>
      </c>
      <c r="K245" s="37"/>
      <c r="L245" s="38"/>
      <c r="M245" s="38">
        <v>286</v>
      </c>
      <c r="N245" s="38"/>
      <c r="O245" s="38"/>
      <c r="P245" s="39">
        <f t="shared" si="116"/>
        <v>286</v>
      </c>
      <c r="Q245" s="310">
        <f>SUM(P245:P249)</f>
        <v>1262.4000000000001</v>
      </c>
      <c r="R245" s="40">
        <v>55000</v>
      </c>
      <c r="S245" s="41">
        <f t="shared" si="125"/>
        <v>15730000</v>
      </c>
      <c r="T245" s="41"/>
      <c r="U245" s="42" t="s">
        <v>175</v>
      </c>
      <c r="V245" s="60">
        <v>64</v>
      </c>
      <c r="W245" s="38" t="s">
        <v>52</v>
      </c>
      <c r="X245" s="41">
        <v>40000</v>
      </c>
      <c r="Y245" s="43">
        <v>1</v>
      </c>
      <c r="Z245" s="41">
        <f t="shared" si="126"/>
        <v>2560000</v>
      </c>
      <c r="AA245" s="41">
        <f t="shared" si="144"/>
        <v>2002000</v>
      </c>
      <c r="AB245" s="41">
        <f t="shared" si="127"/>
        <v>47190000</v>
      </c>
      <c r="AC245" s="38">
        <v>3</v>
      </c>
      <c r="AD245" s="44">
        <f t="shared" si="119"/>
        <v>10500000</v>
      </c>
      <c r="AE245" s="41">
        <f t="shared" si="128"/>
        <v>77982000</v>
      </c>
      <c r="AF245" s="313">
        <f>SUM(AE245:AE249)</f>
        <v>331357800</v>
      </c>
      <c r="AG245" s="45"/>
      <c r="AH245" s="46"/>
      <c r="AI245" s="46"/>
      <c r="AJ245" s="46"/>
    </row>
    <row r="246" spans="1:36" s="47" customFormat="1" ht="57.75" customHeight="1">
      <c r="A246" s="308"/>
      <c r="B246" s="33" t="s">
        <v>335</v>
      </c>
      <c r="C246" s="50">
        <v>117</v>
      </c>
      <c r="D246" s="50">
        <v>4</v>
      </c>
      <c r="E246" s="51">
        <v>184</v>
      </c>
      <c r="F246" s="34" t="s">
        <v>336</v>
      </c>
      <c r="G246" s="34" t="s">
        <v>99</v>
      </c>
      <c r="H246" s="35">
        <v>199.3</v>
      </c>
      <c r="I246" s="34" t="s">
        <v>49</v>
      </c>
      <c r="J246" s="36" t="s">
        <v>74</v>
      </c>
      <c r="K246" s="37">
        <f t="shared" si="134"/>
        <v>184</v>
      </c>
      <c r="L246" s="38">
        <f t="shared" si="140"/>
        <v>15.300000000000011</v>
      </c>
      <c r="M246" s="38"/>
      <c r="N246" s="38"/>
      <c r="O246" s="38"/>
      <c r="P246" s="39">
        <f t="shared" si="116"/>
        <v>199.3</v>
      </c>
      <c r="Q246" s="311"/>
      <c r="R246" s="40">
        <v>60000</v>
      </c>
      <c r="S246" s="41">
        <f t="shared" si="125"/>
        <v>11958000</v>
      </c>
      <c r="T246" s="41"/>
      <c r="U246" s="42" t="s">
        <v>47</v>
      </c>
      <c r="V246" s="66">
        <f t="shared" ref="V246:V275" si="145">P246</f>
        <v>199.3</v>
      </c>
      <c r="W246" s="38" t="s">
        <v>48</v>
      </c>
      <c r="X246" s="41">
        <v>9500</v>
      </c>
      <c r="Y246" s="43">
        <v>1</v>
      </c>
      <c r="Z246" s="41">
        <f t="shared" si="126"/>
        <v>1893350</v>
      </c>
      <c r="AA246" s="41">
        <f t="shared" ref="AA246:AA253" si="146">P246*10000</f>
        <v>1993000</v>
      </c>
      <c r="AB246" s="41">
        <f t="shared" si="127"/>
        <v>35874000</v>
      </c>
      <c r="AC246" s="38"/>
      <c r="AD246" s="44">
        <f t="shared" si="119"/>
        <v>0</v>
      </c>
      <c r="AE246" s="41">
        <f t="shared" si="128"/>
        <v>51718350</v>
      </c>
      <c r="AF246" s="314"/>
      <c r="AG246" s="45"/>
      <c r="AH246" s="46"/>
      <c r="AI246" s="46"/>
      <c r="AJ246" s="46"/>
    </row>
    <row r="247" spans="1:36" s="47" customFormat="1" ht="52.5" customHeight="1">
      <c r="A247" s="308"/>
      <c r="B247" s="33" t="s">
        <v>335</v>
      </c>
      <c r="C247" s="72">
        <v>81</v>
      </c>
      <c r="D247" s="72">
        <v>4</v>
      </c>
      <c r="E247" s="73">
        <v>720</v>
      </c>
      <c r="F247" s="34" t="s">
        <v>337</v>
      </c>
      <c r="G247" s="34" t="s">
        <v>99</v>
      </c>
      <c r="H247" s="35">
        <v>77.3</v>
      </c>
      <c r="I247" s="34" t="s">
        <v>45</v>
      </c>
      <c r="J247" s="36" t="s">
        <v>60</v>
      </c>
      <c r="K247" s="37">
        <v>77.3</v>
      </c>
      <c r="L247" s="38">
        <f t="shared" si="140"/>
        <v>0</v>
      </c>
      <c r="M247" s="38"/>
      <c r="N247" s="38"/>
      <c r="O247" s="38"/>
      <c r="P247" s="39">
        <f t="shared" si="116"/>
        <v>77.3</v>
      </c>
      <c r="Q247" s="311"/>
      <c r="R247" s="40">
        <v>60000</v>
      </c>
      <c r="S247" s="41">
        <f t="shared" si="125"/>
        <v>4638000</v>
      </c>
      <c r="T247" s="41"/>
      <c r="U247" s="42" t="s">
        <v>47</v>
      </c>
      <c r="V247" s="66">
        <f t="shared" si="145"/>
        <v>77.3</v>
      </c>
      <c r="W247" s="38" t="s">
        <v>48</v>
      </c>
      <c r="X247" s="41">
        <v>9500</v>
      </c>
      <c r="Y247" s="43">
        <v>1</v>
      </c>
      <c r="Z247" s="41">
        <f t="shared" si="126"/>
        <v>734350</v>
      </c>
      <c r="AA247" s="41">
        <f t="shared" si="146"/>
        <v>773000</v>
      </c>
      <c r="AB247" s="41">
        <f t="shared" si="127"/>
        <v>13914000</v>
      </c>
      <c r="AC247" s="38"/>
      <c r="AD247" s="44">
        <f t="shared" si="119"/>
        <v>0</v>
      </c>
      <c r="AE247" s="41">
        <f t="shared" si="128"/>
        <v>20059350</v>
      </c>
      <c r="AF247" s="314"/>
      <c r="AG247" s="45"/>
      <c r="AH247" s="46"/>
      <c r="AI247" s="46"/>
      <c r="AJ247" s="46"/>
    </row>
    <row r="248" spans="1:36" s="47" customFormat="1" ht="52.5" customHeight="1">
      <c r="A248" s="308"/>
      <c r="B248" s="33" t="s">
        <v>335</v>
      </c>
      <c r="C248" s="74"/>
      <c r="D248" s="74"/>
      <c r="E248" s="75"/>
      <c r="F248" s="34" t="s">
        <v>338</v>
      </c>
      <c r="G248" s="34" t="s">
        <v>99</v>
      </c>
      <c r="H248" s="35">
        <v>526.20000000000005</v>
      </c>
      <c r="I248" s="34" t="s">
        <v>45</v>
      </c>
      <c r="J248" s="36" t="s">
        <v>60</v>
      </c>
      <c r="K248" s="37">
        <v>526.20000000000005</v>
      </c>
      <c r="L248" s="38">
        <f t="shared" si="140"/>
        <v>0</v>
      </c>
      <c r="M248" s="38"/>
      <c r="N248" s="38"/>
      <c r="O248" s="38"/>
      <c r="P248" s="39">
        <f t="shared" si="116"/>
        <v>526.20000000000005</v>
      </c>
      <c r="Q248" s="311"/>
      <c r="R248" s="40">
        <v>60000</v>
      </c>
      <c r="S248" s="41">
        <f t="shared" si="125"/>
        <v>31572000.000000004</v>
      </c>
      <c r="T248" s="41"/>
      <c r="U248" s="42" t="s">
        <v>47</v>
      </c>
      <c r="V248" s="66">
        <f t="shared" si="145"/>
        <v>526.20000000000005</v>
      </c>
      <c r="W248" s="38" t="s">
        <v>48</v>
      </c>
      <c r="X248" s="41">
        <v>9500</v>
      </c>
      <c r="Y248" s="43">
        <v>1</v>
      </c>
      <c r="Z248" s="41">
        <f t="shared" si="126"/>
        <v>4998900</v>
      </c>
      <c r="AA248" s="41">
        <f t="shared" si="146"/>
        <v>5262000</v>
      </c>
      <c r="AB248" s="41">
        <f t="shared" si="127"/>
        <v>94716000.000000015</v>
      </c>
      <c r="AC248" s="38"/>
      <c r="AD248" s="44">
        <f t="shared" si="119"/>
        <v>0</v>
      </c>
      <c r="AE248" s="41">
        <f t="shared" si="128"/>
        <v>136548900</v>
      </c>
      <c r="AF248" s="314"/>
      <c r="AG248" s="81">
        <f>P248*40000</f>
        <v>21048000</v>
      </c>
      <c r="AH248" s="46"/>
      <c r="AI248" s="46"/>
      <c r="AJ248" s="46"/>
    </row>
    <row r="249" spans="1:36" s="47" customFormat="1" ht="52.5" customHeight="1">
      <c r="A249" s="309"/>
      <c r="B249" s="33" t="s">
        <v>335</v>
      </c>
      <c r="C249" s="77"/>
      <c r="D249" s="77"/>
      <c r="E249" s="78"/>
      <c r="F249" s="34" t="s">
        <v>339</v>
      </c>
      <c r="G249" s="34" t="s">
        <v>99</v>
      </c>
      <c r="H249" s="35">
        <v>173.6</v>
      </c>
      <c r="I249" s="34" t="s">
        <v>45</v>
      </c>
      <c r="J249" s="36" t="s">
        <v>60</v>
      </c>
      <c r="K249" s="37">
        <f>720-77.3-526.2</f>
        <v>116.5</v>
      </c>
      <c r="L249" s="38">
        <f t="shared" si="140"/>
        <v>57.099999999999994</v>
      </c>
      <c r="M249" s="38"/>
      <c r="N249" s="38"/>
      <c r="O249" s="38"/>
      <c r="P249" s="39">
        <f t="shared" si="116"/>
        <v>173.6</v>
      </c>
      <c r="Q249" s="312"/>
      <c r="R249" s="40">
        <v>60000</v>
      </c>
      <c r="S249" s="41">
        <f t="shared" si="125"/>
        <v>10416000</v>
      </c>
      <c r="T249" s="41"/>
      <c r="U249" s="42" t="s">
        <v>47</v>
      </c>
      <c r="V249" s="66">
        <f t="shared" si="145"/>
        <v>173.6</v>
      </c>
      <c r="W249" s="38" t="s">
        <v>48</v>
      </c>
      <c r="X249" s="41">
        <v>9500</v>
      </c>
      <c r="Y249" s="43">
        <v>1</v>
      </c>
      <c r="Z249" s="41">
        <f t="shared" si="126"/>
        <v>1649200</v>
      </c>
      <c r="AA249" s="41">
        <f t="shared" si="146"/>
        <v>1736000</v>
      </c>
      <c r="AB249" s="41">
        <f t="shared" si="127"/>
        <v>31248000</v>
      </c>
      <c r="AC249" s="38"/>
      <c r="AD249" s="44">
        <f t="shared" si="119"/>
        <v>0</v>
      </c>
      <c r="AE249" s="41">
        <f t="shared" si="128"/>
        <v>45049200</v>
      </c>
      <c r="AF249" s="315"/>
      <c r="AG249" s="81">
        <f>P249*40000</f>
        <v>6944000</v>
      </c>
      <c r="AH249" s="46"/>
      <c r="AI249" s="46"/>
      <c r="AJ249" s="46"/>
    </row>
    <row r="250" spans="1:36" s="47" customFormat="1" ht="52.5" customHeight="1">
      <c r="A250" s="32">
        <v>69</v>
      </c>
      <c r="B250" s="33" t="s">
        <v>340</v>
      </c>
      <c r="C250" s="50">
        <v>84</v>
      </c>
      <c r="D250" s="50">
        <v>5</v>
      </c>
      <c r="E250" s="51">
        <v>36</v>
      </c>
      <c r="F250" s="34" t="s">
        <v>341</v>
      </c>
      <c r="G250" s="34" t="s">
        <v>99</v>
      </c>
      <c r="H250" s="35">
        <v>83.3</v>
      </c>
      <c r="I250" s="34" t="s">
        <v>55</v>
      </c>
      <c r="J250" s="36" t="s">
        <v>60</v>
      </c>
      <c r="K250" s="37">
        <f t="shared" si="134"/>
        <v>36</v>
      </c>
      <c r="L250" s="38">
        <f t="shared" si="140"/>
        <v>47.3</v>
      </c>
      <c r="M250" s="38"/>
      <c r="N250" s="38"/>
      <c r="O250" s="38"/>
      <c r="P250" s="39">
        <f t="shared" si="116"/>
        <v>83.3</v>
      </c>
      <c r="Q250" s="63">
        <f>P250</f>
        <v>83.3</v>
      </c>
      <c r="R250" s="40">
        <v>60000</v>
      </c>
      <c r="S250" s="41">
        <f t="shared" si="125"/>
        <v>4998000</v>
      </c>
      <c r="T250" s="41"/>
      <c r="U250" s="42" t="s">
        <v>342</v>
      </c>
      <c r="V250" s="66">
        <v>16</v>
      </c>
      <c r="W250" s="38" t="s">
        <v>52</v>
      </c>
      <c r="X250" s="41">
        <v>118000</v>
      </c>
      <c r="Y250" s="43">
        <v>0.8</v>
      </c>
      <c r="Z250" s="41">
        <f t="shared" si="126"/>
        <v>1510400</v>
      </c>
      <c r="AA250" s="41">
        <f t="shared" si="146"/>
        <v>833000</v>
      </c>
      <c r="AB250" s="41">
        <f t="shared" si="127"/>
        <v>14994000</v>
      </c>
      <c r="AC250" s="38"/>
      <c r="AD250" s="44">
        <f t="shared" si="119"/>
        <v>0</v>
      </c>
      <c r="AE250" s="41">
        <f t="shared" si="128"/>
        <v>22335400</v>
      </c>
      <c r="AF250" s="64">
        <f>AE250</f>
        <v>22335400</v>
      </c>
      <c r="AG250" s="45" t="s">
        <v>343</v>
      </c>
      <c r="AH250" s="46"/>
      <c r="AI250" s="46"/>
      <c r="AJ250" s="46"/>
    </row>
    <row r="251" spans="1:36" s="47" customFormat="1" ht="52.5" customHeight="1">
      <c r="A251" s="307">
        <v>70</v>
      </c>
      <c r="B251" s="33" t="s">
        <v>344</v>
      </c>
      <c r="C251" s="50">
        <v>116</v>
      </c>
      <c r="D251" s="50">
        <v>4</v>
      </c>
      <c r="E251" s="51">
        <v>480</v>
      </c>
      <c r="F251" s="34" t="s">
        <v>345</v>
      </c>
      <c r="G251" s="34" t="s">
        <v>99</v>
      </c>
      <c r="H251" s="35">
        <v>679.7</v>
      </c>
      <c r="I251" s="34" t="s">
        <v>49</v>
      </c>
      <c r="J251" s="36" t="s">
        <v>57</v>
      </c>
      <c r="K251" s="37">
        <f t="shared" si="134"/>
        <v>480</v>
      </c>
      <c r="L251" s="38">
        <f t="shared" si="140"/>
        <v>199.70000000000005</v>
      </c>
      <c r="M251" s="38"/>
      <c r="N251" s="38"/>
      <c r="O251" s="38"/>
      <c r="P251" s="39">
        <f t="shared" si="116"/>
        <v>679.7</v>
      </c>
      <c r="Q251" s="310">
        <f>SUM(P251:P253)</f>
        <v>1308.5</v>
      </c>
      <c r="R251" s="40">
        <v>60000</v>
      </c>
      <c r="S251" s="41">
        <f t="shared" si="125"/>
        <v>40782000</v>
      </c>
      <c r="T251" s="41"/>
      <c r="U251" s="42" t="s">
        <v>47</v>
      </c>
      <c r="V251" s="66">
        <f t="shared" si="145"/>
        <v>679.7</v>
      </c>
      <c r="W251" s="38" t="s">
        <v>48</v>
      </c>
      <c r="X251" s="41">
        <v>9500</v>
      </c>
      <c r="Y251" s="43">
        <v>1</v>
      </c>
      <c r="Z251" s="41">
        <f t="shared" si="126"/>
        <v>6457150</v>
      </c>
      <c r="AA251" s="41">
        <f t="shared" si="146"/>
        <v>6797000</v>
      </c>
      <c r="AB251" s="41">
        <f t="shared" si="127"/>
        <v>122346000</v>
      </c>
      <c r="AC251" s="38">
        <v>3</v>
      </c>
      <c r="AD251" s="44">
        <f t="shared" si="119"/>
        <v>10500000</v>
      </c>
      <c r="AE251" s="41">
        <f t="shared" si="128"/>
        <v>186882150</v>
      </c>
      <c r="AF251" s="313">
        <f>SUM(AE251:AE253)</f>
        <v>350055750</v>
      </c>
      <c r="AG251" s="45"/>
      <c r="AH251" s="46"/>
      <c r="AI251" s="46"/>
      <c r="AJ251" s="46"/>
    </row>
    <row r="252" spans="1:36" s="47" customFormat="1" ht="52.5" customHeight="1">
      <c r="A252" s="308"/>
      <c r="B252" s="33" t="s">
        <v>344</v>
      </c>
      <c r="C252" s="50">
        <v>9</v>
      </c>
      <c r="D252" s="50">
        <v>4</v>
      </c>
      <c r="E252" s="51">
        <v>384</v>
      </c>
      <c r="F252" s="34" t="s">
        <v>346</v>
      </c>
      <c r="G252" s="34" t="s">
        <v>96</v>
      </c>
      <c r="H252" s="35">
        <v>384.7</v>
      </c>
      <c r="I252" s="34" t="s">
        <v>45</v>
      </c>
      <c r="J252" s="36" t="s">
        <v>54</v>
      </c>
      <c r="K252" s="37">
        <f t="shared" si="134"/>
        <v>384</v>
      </c>
      <c r="L252" s="38">
        <f t="shared" si="140"/>
        <v>0.69999999999998863</v>
      </c>
      <c r="M252" s="38"/>
      <c r="N252" s="38"/>
      <c r="O252" s="38"/>
      <c r="P252" s="39">
        <f t="shared" si="116"/>
        <v>384.7</v>
      </c>
      <c r="Q252" s="311"/>
      <c r="R252" s="40">
        <v>60000</v>
      </c>
      <c r="S252" s="41">
        <f t="shared" si="125"/>
        <v>23082000</v>
      </c>
      <c r="T252" s="41"/>
      <c r="U252" s="42" t="s">
        <v>47</v>
      </c>
      <c r="V252" s="66">
        <f t="shared" si="145"/>
        <v>384.7</v>
      </c>
      <c r="W252" s="38" t="s">
        <v>48</v>
      </c>
      <c r="X252" s="41">
        <v>9500</v>
      </c>
      <c r="Y252" s="43">
        <v>1</v>
      </c>
      <c r="Z252" s="41">
        <f t="shared" si="126"/>
        <v>3654650</v>
      </c>
      <c r="AA252" s="41">
        <f t="shared" si="146"/>
        <v>3847000</v>
      </c>
      <c r="AB252" s="41">
        <f t="shared" si="127"/>
        <v>69246000</v>
      </c>
      <c r="AC252" s="38"/>
      <c r="AD252" s="44">
        <f t="shared" si="119"/>
        <v>0</v>
      </c>
      <c r="AE252" s="41">
        <f t="shared" si="128"/>
        <v>99829650</v>
      </c>
      <c r="AF252" s="314"/>
      <c r="AG252" s="45"/>
      <c r="AH252" s="46"/>
      <c r="AI252" s="46"/>
      <c r="AJ252" s="46"/>
    </row>
    <row r="253" spans="1:36" s="47" customFormat="1" ht="52.5" customHeight="1">
      <c r="A253" s="309"/>
      <c r="B253" s="33" t="s">
        <v>344</v>
      </c>
      <c r="C253" s="50">
        <v>105</v>
      </c>
      <c r="D253" s="50">
        <v>4</v>
      </c>
      <c r="E253" s="51">
        <v>240</v>
      </c>
      <c r="F253" s="34" t="s">
        <v>347</v>
      </c>
      <c r="G253" s="34" t="s">
        <v>99</v>
      </c>
      <c r="H253" s="35">
        <v>259.7</v>
      </c>
      <c r="I253" s="34" t="s">
        <v>45</v>
      </c>
      <c r="J253" s="36" t="s">
        <v>60</v>
      </c>
      <c r="K253" s="37">
        <f t="shared" si="134"/>
        <v>240</v>
      </c>
      <c r="L253" s="38">
        <v>4.0999999999999996</v>
      </c>
      <c r="M253" s="38"/>
      <c r="N253" s="38"/>
      <c r="O253" s="38"/>
      <c r="P253" s="39">
        <f t="shared" si="116"/>
        <v>244.1</v>
      </c>
      <c r="Q253" s="311"/>
      <c r="R253" s="40">
        <v>60000</v>
      </c>
      <c r="S253" s="41">
        <f t="shared" si="125"/>
        <v>14646000</v>
      </c>
      <c r="T253" s="41"/>
      <c r="U253" s="42" t="s">
        <v>47</v>
      </c>
      <c r="V253" s="66">
        <f t="shared" si="145"/>
        <v>244.1</v>
      </c>
      <c r="W253" s="38" t="s">
        <v>48</v>
      </c>
      <c r="X253" s="41">
        <v>9500</v>
      </c>
      <c r="Y253" s="43">
        <v>1</v>
      </c>
      <c r="Z253" s="41">
        <f t="shared" si="126"/>
        <v>2318950</v>
      </c>
      <c r="AA253" s="41">
        <f t="shared" si="146"/>
        <v>2441000</v>
      </c>
      <c r="AB253" s="41">
        <f t="shared" si="127"/>
        <v>43938000</v>
      </c>
      <c r="AC253" s="38"/>
      <c r="AD253" s="44">
        <f t="shared" si="119"/>
        <v>0</v>
      </c>
      <c r="AE253" s="41">
        <f t="shared" si="128"/>
        <v>63343950</v>
      </c>
      <c r="AF253" s="314"/>
      <c r="AG253" s="45"/>
      <c r="AH253" s="46"/>
      <c r="AI253" s="46"/>
      <c r="AJ253" s="46"/>
    </row>
    <row r="254" spans="1:36" s="47" customFormat="1" ht="52.5" customHeight="1">
      <c r="A254" s="307">
        <v>71</v>
      </c>
      <c r="B254" s="33" t="s">
        <v>348</v>
      </c>
      <c r="C254" s="50"/>
      <c r="D254" s="50"/>
      <c r="E254" s="51"/>
      <c r="F254" s="34" t="s">
        <v>349</v>
      </c>
      <c r="G254" s="34" t="s">
        <v>96</v>
      </c>
      <c r="H254" s="35">
        <v>184.8</v>
      </c>
      <c r="I254" s="34" t="s">
        <v>55</v>
      </c>
      <c r="J254" s="36" t="s">
        <v>260</v>
      </c>
      <c r="K254" s="37"/>
      <c r="L254" s="38"/>
      <c r="M254" s="38">
        <v>184.8</v>
      </c>
      <c r="N254" s="38"/>
      <c r="O254" s="38"/>
      <c r="P254" s="39">
        <f t="shared" si="116"/>
        <v>184.8</v>
      </c>
      <c r="Q254" s="310">
        <f>SUM(P254:P259)</f>
        <v>1523.3</v>
      </c>
      <c r="R254" s="40">
        <v>55000</v>
      </c>
      <c r="S254" s="41">
        <f>P254*R254</f>
        <v>10164000</v>
      </c>
      <c r="T254" s="41"/>
      <c r="U254" s="42" t="s">
        <v>350</v>
      </c>
      <c r="V254" s="60">
        <v>42</v>
      </c>
      <c r="W254" s="38" t="s">
        <v>52</v>
      </c>
      <c r="X254" s="41">
        <v>163000</v>
      </c>
      <c r="Y254" s="43">
        <v>1</v>
      </c>
      <c r="Z254" s="41">
        <f t="shared" si="126"/>
        <v>6846000</v>
      </c>
      <c r="AA254" s="41">
        <f>P254*7000</f>
        <v>1293600</v>
      </c>
      <c r="AB254" s="41">
        <f>P254*R254*3</f>
        <v>30492000</v>
      </c>
      <c r="AC254" s="38">
        <v>3</v>
      </c>
      <c r="AD254" s="44">
        <f t="shared" si="119"/>
        <v>10500000</v>
      </c>
      <c r="AE254" s="41">
        <f t="shared" si="128"/>
        <v>59295600</v>
      </c>
      <c r="AF254" s="313">
        <f>SUM(AE254:AE259)</f>
        <v>414704900</v>
      </c>
      <c r="AG254" s="45"/>
      <c r="AH254" s="46"/>
      <c r="AI254" s="46"/>
      <c r="AJ254" s="46"/>
    </row>
    <row r="255" spans="1:36" s="47" customFormat="1" ht="52.5" customHeight="1">
      <c r="A255" s="308"/>
      <c r="B255" s="33" t="s">
        <v>348</v>
      </c>
      <c r="C255" s="50">
        <v>216</v>
      </c>
      <c r="D255" s="50">
        <v>4</v>
      </c>
      <c r="E255" s="51">
        <v>216</v>
      </c>
      <c r="F255" s="34" t="s">
        <v>351</v>
      </c>
      <c r="G255" s="34" t="s">
        <v>99</v>
      </c>
      <c r="H255" s="35">
        <v>259</v>
      </c>
      <c r="I255" s="34" t="s">
        <v>49</v>
      </c>
      <c r="J255" s="36" t="s">
        <v>50</v>
      </c>
      <c r="K255" s="37">
        <f t="shared" si="134"/>
        <v>216</v>
      </c>
      <c r="L255" s="38">
        <f t="shared" si="140"/>
        <v>43</v>
      </c>
      <c r="M255" s="38"/>
      <c r="N255" s="38"/>
      <c r="O255" s="38"/>
      <c r="P255" s="39">
        <f t="shared" si="116"/>
        <v>259</v>
      </c>
      <c r="Q255" s="311"/>
      <c r="R255" s="40">
        <v>60000</v>
      </c>
      <c r="S255" s="41">
        <f>P255*R255</f>
        <v>15540000</v>
      </c>
      <c r="T255" s="41"/>
      <c r="U255" s="42" t="s">
        <v>350</v>
      </c>
      <c r="V255" s="60">
        <v>58</v>
      </c>
      <c r="W255" s="38" t="s">
        <v>52</v>
      </c>
      <c r="X255" s="41">
        <v>163000</v>
      </c>
      <c r="Y255" s="43">
        <v>0.8</v>
      </c>
      <c r="Z255" s="41">
        <f t="shared" si="126"/>
        <v>7563200</v>
      </c>
      <c r="AA255" s="41">
        <f>P255*10000</f>
        <v>2590000</v>
      </c>
      <c r="AB255" s="41">
        <f t="shared" si="127"/>
        <v>46620000</v>
      </c>
      <c r="AC255" s="38"/>
      <c r="AD255" s="44">
        <f t="shared" si="119"/>
        <v>0</v>
      </c>
      <c r="AE255" s="41">
        <f t="shared" si="128"/>
        <v>72313200</v>
      </c>
      <c r="AF255" s="314"/>
      <c r="AG255" s="45"/>
      <c r="AH255" s="46"/>
      <c r="AI255" s="46"/>
      <c r="AJ255" s="46"/>
    </row>
    <row r="256" spans="1:36" s="47" customFormat="1" ht="52.5" customHeight="1">
      <c r="A256" s="308"/>
      <c r="B256" s="33" t="s">
        <v>348</v>
      </c>
      <c r="C256" s="50"/>
      <c r="D256" s="50"/>
      <c r="E256" s="51"/>
      <c r="F256" s="34" t="s">
        <v>351</v>
      </c>
      <c r="G256" s="34" t="s">
        <v>99</v>
      </c>
      <c r="H256" s="35">
        <v>259</v>
      </c>
      <c r="I256" s="34" t="s">
        <v>49</v>
      </c>
      <c r="J256" s="36" t="s">
        <v>50</v>
      </c>
      <c r="K256" s="37"/>
      <c r="L256" s="38"/>
      <c r="M256" s="38"/>
      <c r="N256" s="38"/>
      <c r="O256" s="38"/>
      <c r="P256" s="39">
        <f t="shared" si="116"/>
        <v>0</v>
      </c>
      <c r="Q256" s="311"/>
      <c r="R256" s="40">
        <v>0</v>
      </c>
      <c r="S256" s="41">
        <f t="shared" si="125"/>
        <v>0</v>
      </c>
      <c r="T256" s="41"/>
      <c r="U256" s="42" t="s">
        <v>350</v>
      </c>
      <c r="V256" s="60">
        <f>63-58</f>
        <v>5</v>
      </c>
      <c r="W256" s="38" t="s">
        <v>52</v>
      </c>
      <c r="X256" s="41">
        <v>163000</v>
      </c>
      <c r="Y256" s="43">
        <v>0</v>
      </c>
      <c r="Z256" s="41">
        <f t="shared" si="126"/>
        <v>0</v>
      </c>
      <c r="AA256" s="41">
        <f t="shared" ref="AA256:AA266" si="147">P256*10000</f>
        <v>0</v>
      </c>
      <c r="AB256" s="41">
        <f t="shared" si="127"/>
        <v>0</v>
      </c>
      <c r="AC256" s="38"/>
      <c r="AD256" s="44">
        <f t="shared" si="119"/>
        <v>0</v>
      </c>
      <c r="AE256" s="41">
        <f t="shared" si="128"/>
        <v>0</v>
      </c>
      <c r="AF256" s="314"/>
      <c r="AG256" s="45" t="s">
        <v>53</v>
      </c>
      <c r="AH256" s="46"/>
      <c r="AI256" s="46"/>
      <c r="AJ256" s="46"/>
    </row>
    <row r="257" spans="1:36" s="47" customFormat="1" ht="52.5" customHeight="1">
      <c r="A257" s="308"/>
      <c r="B257" s="33" t="s">
        <v>348</v>
      </c>
      <c r="C257" s="50">
        <v>55</v>
      </c>
      <c r="D257" s="50">
        <v>4</v>
      </c>
      <c r="E257" s="51">
        <v>936</v>
      </c>
      <c r="F257" s="34" t="s">
        <v>352</v>
      </c>
      <c r="G257" s="34" t="s">
        <v>99</v>
      </c>
      <c r="H257" s="35">
        <v>925</v>
      </c>
      <c r="I257" s="34" t="s">
        <v>45</v>
      </c>
      <c r="J257" s="36" t="s">
        <v>54</v>
      </c>
      <c r="K257" s="37">
        <v>925</v>
      </c>
      <c r="L257" s="38"/>
      <c r="M257" s="38"/>
      <c r="N257" s="38"/>
      <c r="O257" s="38"/>
      <c r="P257" s="39">
        <f t="shared" si="116"/>
        <v>925</v>
      </c>
      <c r="Q257" s="311"/>
      <c r="R257" s="40">
        <v>60000</v>
      </c>
      <c r="S257" s="41">
        <f t="shared" si="125"/>
        <v>55500000</v>
      </c>
      <c r="T257" s="41"/>
      <c r="U257" s="42" t="s">
        <v>47</v>
      </c>
      <c r="V257" s="66">
        <f t="shared" si="145"/>
        <v>925</v>
      </c>
      <c r="W257" s="38" t="s">
        <v>48</v>
      </c>
      <c r="X257" s="41">
        <v>9500</v>
      </c>
      <c r="Y257" s="43">
        <v>1</v>
      </c>
      <c r="Z257" s="41">
        <f t="shared" si="126"/>
        <v>8787500</v>
      </c>
      <c r="AA257" s="41">
        <f t="shared" si="147"/>
        <v>9250000</v>
      </c>
      <c r="AB257" s="41">
        <f t="shared" si="127"/>
        <v>166500000</v>
      </c>
      <c r="AC257" s="38"/>
      <c r="AD257" s="44">
        <f t="shared" si="119"/>
        <v>0</v>
      </c>
      <c r="AE257" s="41">
        <f t="shared" si="128"/>
        <v>240037500</v>
      </c>
      <c r="AF257" s="314"/>
      <c r="AG257" s="45"/>
      <c r="AH257" s="46"/>
      <c r="AI257" s="46"/>
      <c r="AJ257" s="46"/>
    </row>
    <row r="258" spans="1:36" s="47" customFormat="1" ht="52.5" customHeight="1">
      <c r="A258" s="308"/>
      <c r="B258" s="33" t="s">
        <v>348</v>
      </c>
      <c r="C258" s="50">
        <v>77</v>
      </c>
      <c r="D258" s="50">
        <v>4</v>
      </c>
      <c r="E258" s="51">
        <v>132</v>
      </c>
      <c r="F258" s="34" t="s">
        <v>353</v>
      </c>
      <c r="G258" s="34" t="s">
        <v>99</v>
      </c>
      <c r="H258" s="35">
        <v>154.5</v>
      </c>
      <c r="I258" s="34" t="s">
        <v>55</v>
      </c>
      <c r="J258" s="36" t="s">
        <v>56</v>
      </c>
      <c r="K258" s="37">
        <f t="shared" si="134"/>
        <v>132</v>
      </c>
      <c r="L258" s="38">
        <f t="shared" si="140"/>
        <v>22.5</v>
      </c>
      <c r="M258" s="38"/>
      <c r="N258" s="38"/>
      <c r="O258" s="38"/>
      <c r="P258" s="39">
        <f t="shared" si="116"/>
        <v>154.5</v>
      </c>
      <c r="Q258" s="311"/>
      <c r="R258" s="40">
        <v>60000</v>
      </c>
      <c r="S258" s="41">
        <f t="shared" si="125"/>
        <v>9270000</v>
      </c>
      <c r="T258" s="41"/>
      <c r="U258" s="42" t="s">
        <v>255</v>
      </c>
      <c r="V258" s="60">
        <v>34</v>
      </c>
      <c r="W258" s="38" t="s">
        <v>52</v>
      </c>
      <c r="X258" s="41">
        <v>163000</v>
      </c>
      <c r="Y258" s="43">
        <v>0.8</v>
      </c>
      <c r="Z258" s="41">
        <f t="shared" si="126"/>
        <v>4433600</v>
      </c>
      <c r="AA258" s="41">
        <f t="shared" si="147"/>
        <v>1545000</v>
      </c>
      <c r="AB258" s="41">
        <f t="shared" si="127"/>
        <v>27810000</v>
      </c>
      <c r="AC258" s="38"/>
      <c r="AD258" s="44">
        <f t="shared" si="119"/>
        <v>0</v>
      </c>
      <c r="AE258" s="41">
        <f t="shared" si="128"/>
        <v>43058600</v>
      </c>
      <c r="AF258" s="314"/>
      <c r="AG258" s="45"/>
      <c r="AH258" s="46"/>
      <c r="AI258" s="46"/>
      <c r="AJ258" s="46"/>
    </row>
    <row r="259" spans="1:36" s="47" customFormat="1" ht="60" customHeight="1">
      <c r="A259" s="309"/>
      <c r="B259" s="33" t="s">
        <v>348</v>
      </c>
      <c r="C259" s="50"/>
      <c r="D259" s="50"/>
      <c r="E259" s="51"/>
      <c r="F259" s="34" t="s">
        <v>353</v>
      </c>
      <c r="G259" s="34" t="s">
        <v>99</v>
      </c>
      <c r="H259" s="35">
        <v>154.5</v>
      </c>
      <c r="I259" s="34" t="s">
        <v>55</v>
      </c>
      <c r="J259" s="36" t="s">
        <v>56</v>
      </c>
      <c r="K259" s="37"/>
      <c r="L259" s="38"/>
      <c r="M259" s="38"/>
      <c r="N259" s="38"/>
      <c r="O259" s="38"/>
      <c r="P259" s="39">
        <f t="shared" si="116"/>
        <v>0</v>
      </c>
      <c r="Q259" s="312"/>
      <c r="R259" s="40"/>
      <c r="S259" s="41"/>
      <c r="T259" s="41"/>
      <c r="U259" s="42" t="s">
        <v>255</v>
      </c>
      <c r="V259" s="60">
        <v>5</v>
      </c>
      <c r="W259" s="38" t="s">
        <v>52</v>
      </c>
      <c r="X259" s="41">
        <v>163000</v>
      </c>
      <c r="Y259" s="43">
        <v>0</v>
      </c>
      <c r="Z259" s="41">
        <f t="shared" si="126"/>
        <v>0</v>
      </c>
      <c r="AA259" s="41">
        <f t="shared" si="147"/>
        <v>0</v>
      </c>
      <c r="AB259" s="41">
        <f t="shared" si="127"/>
        <v>0</v>
      </c>
      <c r="AC259" s="38"/>
      <c r="AD259" s="44">
        <f t="shared" si="119"/>
        <v>0</v>
      </c>
      <c r="AE259" s="41">
        <f t="shared" si="128"/>
        <v>0</v>
      </c>
      <c r="AF259" s="315"/>
      <c r="AG259" s="45" t="s">
        <v>53</v>
      </c>
      <c r="AH259" s="46"/>
      <c r="AI259" s="46"/>
      <c r="AJ259" s="46"/>
    </row>
    <row r="260" spans="1:36" s="47" customFormat="1" ht="60" customHeight="1">
      <c r="A260" s="307">
        <v>72</v>
      </c>
      <c r="B260" s="33" t="s">
        <v>354</v>
      </c>
      <c r="C260" s="50">
        <v>54</v>
      </c>
      <c r="D260" s="50">
        <v>4</v>
      </c>
      <c r="E260" s="51">
        <v>360</v>
      </c>
      <c r="F260" s="34" t="s">
        <v>355</v>
      </c>
      <c r="G260" s="34" t="s">
        <v>96</v>
      </c>
      <c r="H260" s="35">
        <v>399.9</v>
      </c>
      <c r="I260" s="34" t="s">
        <v>45</v>
      </c>
      <c r="J260" s="36" t="s">
        <v>54</v>
      </c>
      <c r="K260" s="37">
        <f t="shared" si="134"/>
        <v>360</v>
      </c>
      <c r="L260" s="38">
        <f t="shared" ref="L260" si="148">H260-K260</f>
        <v>39.899999999999977</v>
      </c>
      <c r="M260" s="38"/>
      <c r="N260" s="38"/>
      <c r="O260" s="38"/>
      <c r="P260" s="39">
        <f t="shared" si="116"/>
        <v>399.9</v>
      </c>
      <c r="Q260" s="310">
        <f>SUM(P260:P262)</f>
        <v>497.29999999999995</v>
      </c>
      <c r="R260" s="40">
        <v>60000</v>
      </c>
      <c r="S260" s="41">
        <f t="shared" ref="S260:S261" si="149">P260*R260</f>
        <v>23994000</v>
      </c>
      <c r="T260" s="41"/>
      <c r="U260" s="42" t="s">
        <v>356</v>
      </c>
      <c r="V260" s="60">
        <v>86</v>
      </c>
      <c r="W260" s="38" t="s">
        <v>52</v>
      </c>
      <c r="X260" s="41">
        <v>125000</v>
      </c>
      <c r="Y260" s="43">
        <v>0.8</v>
      </c>
      <c r="Z260" s="41">
        <f t="shared" si="126"/>
        <v>8600000</v>
      </c>
      <c r="AA260" s="41">
        <f t="shared" si="147"/>
        <v>3999000</v>
      </c>
      <c r="AB260" s="41">
        <f t="shared" si="127"/>
        <v>71982000</v>
      </c>
      <c r="AC260" s="38">
        <v>1</v>
      </c>
      <c r="AD260" s="44">
        <f t="shared" si="119"/>
        <v>3500000</v>
      </c>
      <c r="AE260" s="41">
        <f t="shared" si="128"/>
        <v>112075000</v>
      </c>
      <c r="AF260" s="313">
        <f>SUM(AE260:AE262)</f>
        <v>140613200</v>
      </c>
      <c r="AG260" s="45"/>
      <c r="AH260" s="46"/>
      <c r="AI260" s="46"/>
      <c r="AJ260" s="46"/>
    </row>
    <row r="261" spans="1:36" s="47" customFormat="1" ht="60" customHeight="1">
      <c r="A261" s="308"/>
      <c r="B261" s="33" t="s">
        <v>354</v>
      </c>
      <c r="C261" s="50">
        <v>188</v>
      </c>
      <c r="D261" s="50">
        <v>5</v>
      </c>
      <c r="E261" s="51">
        <v>132</v>
      </c>
      <c r="F261" s="34" t="s">
        <v>357</v>
      </c>
      <c r="G261" s="34" t="s">
        <v>99</v>
      </c>
      <c r="H261" s="35">
        <v>97.4</v>
      </c>
      <c r="I261" s="34" t="s">
        <v>49</v>
      </c>
      <c r="J261" s="36" t="s">
        <v>57</v>
      </c>
      <c r="K261" s="37">
        <v>97.4</v>
      </c>
      <c r="L261" s="38"/>
      <c r="M261" s="38"/>
      <c r="N261" s="38"/>
      <c r="O261" s="38"/>
      <c r="P261" s="39">
        <f t="shared" si="116"/>
        <v>97.4</v>
      </c>
      <c r="Q261" s="311"/>
      <c r="R261" s="40">
        <v>60000</v>
      </c>
      <c r="S261" s="41">
        <f t="shared" si="149"/>
        <v>5844000</v>
      </c>
      <c r="T261" s="41"/>
      <c r="U261" s="42" t="s">
        <v>358</v>
      </c>
      <c r="V261" s="60">
        <v>97.4</v>
      </c>
      <c r="W261" s="38" t="s">
        <v>52</v>
      </c>
      <c r="X261" s="41">
        <v>43000</v>
      </c>
      <c r="Y261" s="43">
        <v>1</v>
      </c>
      <c r="Z261" s="41">
        <f t="shared" si="126"/>
        <v>4188200.0000000005</v>
      </c>
      <c r="AA261" s="41">
        <f t="shared" si="147"/>
        <v>974000</v>
      </c>
      <c r="AB261" s="41">
        <f t="shared" si="127"/>
        <v>17532000</v>
      </c>
      <c r="AC261" s="38"/>
      <c r="AD261" s="44">
        <f t="shared" si="119"/>
        <v>0</v>
      </c>
      <c r="AE261" s="41">
        <f t="shared" si="128"/>
        <v>28538200</v>
      </c>
      <c r="AF261" s="314"/>
      <c r="AG261" s="45"/>
      <c r="AH261" s="46"/>
      <c r="AI261" s="46"/>
      <c r="AJ261" s="46"/>
    </row>
    <row r="262" spans="1:36" s="47" customFormat="1" ht="60" customHeight="1">
      <c r="A262" s="309"/>
      <c r="B262" s="33" t="s">
        <v>354</v>
      </c>
      <c r="C262" s="50"/>
      <c r="D262" s="50"/>
      <c r="E262" s="51"/>
      <c r="F262" s="34" t="s">
        <v>357</v>
      </c>
      <c r="G262" s="34" t="s">
        <v>99</v>
      </c>
      <c r="H262" s="35">
        <v>97.4</v>
      </c>
      <c r="I262" s="34" t="s">
        <v>49</v>
      </c>
      <c r="J262" s="36" t="s">
        <v>57</v>
      </c>
      <c r="K262" s="37"/>
      <c r="L262" s="38"/>
      <c r="M262" s="38"/>
      <c r="N262" s="38"/>
      <c r="O262" s="38"/>
      <c r="P262" s="39">
        <f t="shared" si="116"/>
        <v>0</v>
      </c>
      <c r="Q262" s="312"/>
      <c r="R262" s="40"/>
      <c r="S262" s="41">
        <f t="shared" si="125"/>
        <v>0</v>
      </c>
      <c r="T262" s="41"/>
      <c r="U262" s="42" t="s">
        <v>356</v>
      </c>
      <c r="V262" s="66"/>
      <c r="W262" s="38" t="s">
        <v>48</v>
      </c>
      <c r="X262" s="41"/>
      <c r="Y262" s="43">
        <v>0</v>
      </c>
      <c r="Z262" s="41">
        <f t="shared" si="126"/>
        <v>0</v>
      </c>
      <c r="AA262" s="41">
        <f t="shared" si="147"/>
        <v>0</v>
      </c>
      <c r="AB262" s="41">
        <f t="shared" si="127"/>
        <v>0</v>
      </c>
      <c r="AC262" s="38"/>
      <c r="AD262" s="44">
        <f t="shared" si="119"/>
        <v>0</v>
      </c>
      <c r="AE262" s="41">
        <f t="shared" si="128"/>
        <v>0</v>
      </c>
      <c r="AF262" s="315"/>
      <c r="AG262" s="45" t="s">
        <v>53</v>
      </c>
      <c r="AH262" s="46"/>
      <c r="AI262" s="46"/>
      <c r="AJ262" s="46"/>
    </row>
    <row r="263" spans="1:36" s="68" customFormat="1" ht="57" customHeight="1">
      <c r="A263" s="32">
        <v>73</v>
      </c>
      <c r="B263" s="33" t="s">
        <v>359</v>
      </c>
      <c r="C263" s="50">
        <v>211</v>
      </c>
      <c r="D263" s="50">
        <v>4</v>
      </c>
      <c r="E263" s="51">
        <v>144</v>
      </c>
      <c r="F263" s="34" t="s">
        <v>99</v>
      </c>
      <c r="G263" s="34" t="s">
        <v>360</v>
      </c>
      <c r="H263" s="35">
        <v>149.4</v>
      </c>
      <c r="I263" s="34" t="s">
        <v>49</v>
      </c>
      <c r="J263" s="36" t="s">
        <v>198</v>
      </c>
      <c r="K263" s="37">
        <f t="shared" ref="K263:K307" si="150">E263</f>
        <v>144</v>
      </c>
      <c r="L263" s="38">
        <f>H263-K263</f>
        <v>5.4000000000000057</v>
      </c>
      <c r="M263" s="38"/>
      <c r="N263" s="38"/>
      <c r="O263" s="38"/>
      <c r="P263" s="39">
        <f t="shared" si="116"/>
        <v>149.4</v>
      </c>
      <c r="Q263" s="63">
        <f>P263</f>
        <v>149.4</v>
      </c>
      <c r="R263" s="40">
        <v>60000</v>
      </c>
      <c r="S263" s="41">
        <f t="shared" si="125"/>
        <v>8964000</v>
      </c>
      <c r="T263" s="41"/>
      <c r="U263" s="42" t="s">
        <v>47</v>
      </c>
      <c r="V263" s="66">
        <f t="shared" si="145"/>
        <v>149.4</v>
      </c>
      <c r="W263" s="38" t="s">
        <v>48</v>
      </c>
      <c r="X263" s="41">
        <v>9500</v>
      </c>
      <c r="Y263" s="43">
        <v>1</v>
      </c>
      <c r="Z263" s="41">
        <f t="shared" si="126"/>
        <v>1419300</v>
      </c>
      <c r="AA263" s="41">
        <f t="shared" si="147"/>
        <v>1494000</v>
      </c>
      <c r="AB263" s="41">
        <f t="shared" si="127"/>
        <v>26892000</v>
      </c>
      <c r="AC263" s="38"/>
      <c r="AD263" s="44">
        <f t="shared" si="119"/>
        <v>0</v>
      </c>
      <c r="AE263" s="41">
        <f t="shared" si="128"/>
        <v>38769300</v>
      </c>
      <c r="AF263" s="64">
        <f>AE263</f>
        <v>38769300</v>
      </c>
      <c r="AG263" s="45"/>
      <c r="AH263" s="67"/>
      <c r="AI263" s="67"/>
      <c r="AJ263" s="67"/>
    </row>
    <row r="264" spans="1:36" s="68" customFormat="1" ht="57" customHeight="1">
      <c r="A264" s="307">
        <v>74</v>
      </c>
      <c r="B264" s="33" t="s">
        <v>361</v>
      </c>
      <c r="C264" s="50">
        <v>83</v>
      </c>
      <c r="D264" s="50">
        <v>4</v>
      </c>
      <c r="E264" s="51">
        <v>522</v>
      </c>
      <c r="F264" s="34" t="s">
        <v>362</v>
      </c>
      <c r="G264" s="34" t="s">
        <v>99</v>
      </c>
      <c r="H264" s="35">
        <v>521.6</v>
      </c>
      <c r="I264" s="34" t="s">
        <v>45</v>
      </c>
      <c r="J264" s="36" t="s">
        <v>60</v>
      </c>
      <c r="K264" s="37">
        <v>503.8</v>
      </c>
      <c r="L264" s="38"/>
      <c r="M264" s="38"/>
      <c r="N264" s="38"/>
      <c r="O264" s="38"/>
      <c r="P264" s="39">
        <f t="shared" si="116"/>
        <v>503.8</v>
      </c>
      <c r="Q264" s="310">
        <f>SUM(P264:P268)</f>
        <v>703.2</v>
      </c>
      <c r="R264" s="40">
        <v>60000</v>
      </c>
      <c r="S264" s="41">
        <f t="shared" si="125"/>
        <v>30228000</v>
      </c>
      <c r="T264" s="41"/>
      <c r="U264" s="42" t="s">
        <v>47</v>
      </c>
      <c r="V264" s="66">
        <f t="shared" si="145"/>
        <v>503.8</v>
      </c>
      <c r="W264" s="38" t="s">
        <v>48</v>
      </c>
      <c r="X264" s="41">
        <v>9500</v>
      </c>
      <c r="Y264" s="43">
        <v>1</v>
      </c>
      <c r="Z264" s="41">
        <f t="shared" si="126"/>
        <v>4786100</v>
      </c>
      <c r="AA264" s="41">
        <f t="shared" si="147"/>
        <v>5038000</v>
      </c>
      <c r="AB264" s="41">
        <f t="shared" si="127"/>
        <v>90684000</v>
      </c>
      <c r="AC264" s="38">
        <v>1</v>
      </c>
      <c r="AD264" s="44">
        <f t="shared" si="119"/>
        <v>3500000</v>
      </c>
      <c r="AE264" s="41">
        <f t="shared" si="128"/>
        <v>134236100</v>
      </c>
      <c r="AF264" s="313">
        <f>SUM(AE264:AE268)</f>
        <v>193595000</v>
      </c>
      <c r="AG264" s="45"/>
      <c r="AH264" s="67"/>
      <c r="AI264" s="67"/>
      <c r="AJ264" s="67"/>
    </row>
    <row r="265" spans="1:36" s="68" customFormat="1" ht="57" customHeight="1">
      <c r="A265" s="308"/>
      <c r="B265" s="33" t="s">
        <v>361</v>
      </c>
      <c r="C265" s="50"/>
      <c r="D265" s="50"/>
      <c r="E265" s="51"/>
      <c r="F265" s="34">
        <v>273</v>
      </c>
      <c r="G265" s="34">
        <v>28</v>
      </c>
      <c r="H265" s="35">
        <v>240.2</v>
      </c>
      <c r="I265" s="34" t="s">
        <v>45</v>
      </c>
      <c r="J265" s="36" t="s">
        <v>60</v>
      </c>
      <c r="K265" s="37">
        <f>522-503.8</f>
        <v>18.199999999999989</v>
      </c>
      <c r="L265" s="38">
        <f>35.7-18.2</f>
        <v>17.500000000000004</v>
      </c>
      <c r="M265" s="38"/>
      <c r="N265" s="38"/>
      <c r="O265" s="38"/>
      <c r="P265" s="39">
        <f t="shared" si="116"/>
        <v>35.699999999999989</v>
      </c>
      <c r="Q265" s="311"/>
      <c r="R265" s="40">
        <v>60000</v>
      </c>
      <c r="S265" s="41">
        <f t="shared" si="125"/>
        <v>2141999.9999999995</v>
      </c>
      <c r="T265" s="41"/>
      <c r="U265" s="42" t="s">
        <v>47</v>
      </c>
      <c r="V265" s="66">
        <f t="shared" si="145"/>
        <v>35.699999999999989</v>
      </c>
      <c r="W265" s="38" t="s">
        <v>48</v>
      </c>
      <c r="X265" s="41">
        <v>9500</v>
      </c>
      <c r="Y265" s="43">
        <v>1</v>
      </c>
      <c r="Z265" s="41">
        <f t="shared" si="126"/>
        <v>339149.99999999988</v>
      </c>
      <c r="AA265" s="41">
        <f t="shared" si="147"/>
        <v>356999.99999999988</v>
      </c>
      <c r="AB265" s="41">
        <f t="shared" si="127"/>
        <v>6425999.9999999981</v>
      </c>
      <c r="AC265" s="38"/>
      <c r="AD265" s="44">
        <f t="shared" si="119"/>
        <v>0</v>
      </c>
      <c r="AE265" s="41">
        <f t="shared" si="128"/>
        <v>9264149.9999999981</v>
      </c>
      <c r="AF265" s="314"/>
      <c r="AG265" s="45"/>
      <c r="AH265" s="67"/>
      <c r="AI265" s="67"/>
      <c r="AJ265" s="67"/>
    </row>
    <row r="266" spans="1:36" s="68" customFormat="1" ht="57" customHeight="1">
      <c r="A266" s="308"/>
      <c r="B266" s="33" t="s">
        <v>361</v>
      </c>
      <c r="C266" s="50"/>
      <c r="D266" s="50"/>
      <c r="E266" s="51"/>
      <c r="F266" s="34" t="s">
        <v>363</v>
      </c>
      <c r="G266" s="34" t="s">
        <v>99</v>
      </c>
      <c r="H266" s="35">
        <v>46.5</v>
      </c>
      <c r="I266" s="34" t="s">
        <v>49</v>
      </c>
      <c r="J266" s="36" t="s">
        <v>57</v>
      </c>
      <c r="K266" s="37"/>
      <c r="L266" s="38">
        <f t="shared" ref="L266:L268" si="151">H266-K266</f>
        <v>46.5</v>
      </c>
      <c r="M266" s="38"/>
      <c r="N266" s="38"/>
      <c r="O266" s="38"/>
      <c r="P266" s="39">
        <f t="shared" si="116"/>
        <v>46.5</v>
      </c>
      <c r="Q266" s="311"/>
      <c r="R266" s="40">
        <v>60000</v>
      </c>
      <c r="S266" s="41">
        <f t="shared" si="125"/>
        <v>2790000</v>
      </c>
      <c r="T266" s="41"/>
      <c r="U266" s="42" t="s">
        <v>47</v>
      </c>
      <c r="V266" s="66">
        <f t="shared" si="145"/>
        <v>46.5</v>
      </c>
      <c r="W266" s="38" t="s">
        <v>48</v>
      </c>
      <c r="X266" s="41">
        <v>9500</v>
      </c>
      <c r="Y266" s="43">
        <v>1</v>
      </c>
      <c r="Z266" s="41">
        <f t="shared" si="126"/>
        <v>441750</v>
      </c>
      <c r="AA266" s="41">
        <f t="shared" si="147"/>
        <v>465000</v>
      </c>
      <c r="AB266" s="41">
        <f t="shared" si="127"/>
        <v>8370000</v>
      </c>
      <c r="AC266" s="38"/>
      <c r="AD266" s="44">
        <f t="shared" si="119"/>
        <v>0</v>
      </c>
      <c r="AE266" s="41">
        <f t="shared" si="128"/>
        <v>12066750</v>
      </c>
      <c r="AF266" s="314"/>
      <c r="AG266" s="45"/>
      <c r="AH266" s="67"/>
      <c r="AI266" s="67"/>
      <c r="AJ266" s="67"/>
    </row>
    <row r="267" spans="1:36" s="68" customFormat="1" ht="57" customHeight="1">
      <c r="A267" s="308"/>
      <c r="B267" s="33" t="s">
        <v>361</v>
      </c>
      <c r="C267" s="50"/>
      <c r="D267" s="50"/>
      <c r="E267" s="51"/>
      <c r="F267" s="34" t="s">
        <v>363</v>
      </c>
      <c r="G267" s="34" t="s">
        <v>99</v>
      </c>
      <c r="H267" s="35">
        <v>46.5</v>
      </c>
      <c r="I267" s="34" t="s">
        <v>49</v>
      </c>
      <c r="J267" s="36" t="s">
        <v>57</v>
      </c>
      <c r="K267" s="37"/>
      <c r="L267" s="38"/>
      <c r="M267" s="38"/>
      <c r="N267" s="38"/>
      <c r="O267" s="38"/>
      <c r="P267" s="39">
        <f t="shared" si="116"/>
        <v>0</v>
      </c>
      <c r="Q267" s="311"/>
      <c r="R267" s="40"/>
      <c r="S267" s="41"/>
      <c r="T267" s="41"/>
      <c r="U267" s="42" t="s">
        <v>173</v>
      </c>
      <c r="V267" s="66"/>
      <c r="W267" s="38"/>
      <c r="X267" s="41"/>
      <c r="Y267" s="43"/>
      <c r="Z267" s="41"/>
      <c r="AA267" s="41"/>
      <c r="AB267" s="41"/>
      <c r="AC267" s="38"/>
      <c r="AD267" s="44">
        <f t="shared" si="119"/>
        <v>0</v>
      </c>
      <c r="AE267" s="41">
        <f t="shared" si="128"/>
        <v>0</v>
      </c>
      <c r="AF267" s="314"/>
      <c r="AG267" s="45"/>
      <c r="AH267" s="67"/>
      <c r="AI267" s="67"/>
      <c r="AJ267" s="67"/>
    </row>
    <row r="268" spans="1:36" s="68" customFormat="1" ht="57" customHeight="1">
      <c r="A268" s="309"/>
      <c r="B268" s="33" t="s">
        <v>361</v>
      </c>
      <c r="C268" s="50">
        <v>123</v>
      </c>
      <c r="D268" s="50">
        <v>5</v>
      </c>
      <c r="E268" s="51">
        <v>48</v>
      </c>
      <c r="F268" s="34" t="s">
        <v>364</v>
      </c>
      <c r="G268" s="34" t="s">
        <v>99</v>
      </c>
      <c r="H268" s="35">
        <v>117.2</v>
      </c>
      <c r="I268" s="34" t="s">
        <v>49</v>
      </c>
      <c r="J268" s="36" t="s">
        <v>50</v>
      </c>
      <c r="K268" s="37">
        <f t="shared" si="150"/>
        <v>48</v>
      </c>
      <c r="L268" s="38">
        <f t="shared" si="151"/>
        <v>69.2</v>
      </c>
      <c r="M268" s="38"/>
      <c r="N268" s="38"/>
      <c r="O268" s="38"/>
      <c r="P268" s="39">
        <f t="shared" ref="P268:P331" si="152">SUM(K268:O268)</f>
        <v>117.2</v>
      </c>
      <c r="Q268" s="312"/>
      <c r="R268" s="40">
        <v>60000</v>
      </c>
      <c r="S268" s="41">
        <f t="shared" ref="S268:S270" si="153">P268*R268</f>
        <v>7032000</v>
      </c>
      <c r="T268" s="41"/>
      <c r="U268" s="42" t="s">
        <v>365</v>
      </c>
      <c r="V268" s="66">
        <v>10</v>
      </c>
      <c r="W268" s="38" t="s">
        <v>52</v>
      </c>
      <c r="X268" s="41">
        <v>1091000</v>
      </c>
      <c r="Y268" s="43">
        <v>0.8</v>
      </c>
      <c r="Z268" s="41">
        <f t="shared" si="126"/>
        <v>8728000</v>
      </c>
      <c r="AA268" s="41">
        <f t="shared" ref="AA268:AA270" si="154">P268*10000</f>
        <v>1172000</v>
      </c>
      <c r="AB268" s="41">
        <f t="shared" si="127"/>
        <v>21096000</v>
      </c>
      <c r="AC268" s="38"/>
      <c r="AD268" s="44">
        <f t="shared" ref="AD268:AD331" si="155">AC268*3500000</f>
        <v>0</v>
      </c>
      <c r="AE268" s="41">
        <f t="shared" si="128"/>
        <v>38028000</v>
      </c>
      <c r="AF268" s="315"/>
      <c r="AG268" s="45"/>
      <c r="AH268" s="67"/>
      <c r="AI268" s="67"/>
      <c r="AJ268" s="67"/>
    </row>
    <row r="269" spans="1:36" s="47" customFormat="1" ht="52.5" customHeight="1">
      <c r="A269" s="307">
        <v>75</v>
      </c>
      <c r="B269" s="33" t="s">
        <v>366</v>
      </c>
      <c r="C269" s="50"/>
      <c r="D269" s="50"/>
      <c r="E269" s="51"/>
      <c r="F269" s="34">
        <v>280</v>
      </c>
      <c r="G269" s="34" t="s">
        <v>99</v>
      </c>
      <c r="H269" s="35">
        <v>280</v>
      </c>
      <c r="I269" s="34" t="s">
        <v>45</v>
      </c>
      <c r="J269" s="36" t="s">
        <v>50</v>
      </c>
      <c r="K269" s="37"/>
      <c r="L269" s="38">
        <v>9.3000000000000007</v>
      </c>
      <c r="M269" s="38"/>
      <c r="N269" s="38"/>
      <c r="O269" s="38"/>
      <c r="P269" s="39">
        <f t="shared" si="152"/>
        <v>9.3000000000000007</v>
      </c>
      <c r="Q269" s="310">
        <f>SUM(P269:P275)</f>
        <v>523.70000000000005</v>
      </c>
      <c r="R269" s="40">
        <v>60000</v>
      </c>
      <c r="S269" s="41">
        <f t="shared" si="153"/>
        <v>558000</v>
      </c>
      <c r="T269" s="41"/>
      <c r="U269" s="42" t="s">
        <v>182</v>
      </c>
      <c r="V269" s="66">
        <f t="shared" si="145"/>
        <v>9.3000000000000007</v>
      </c>
      <c r="W269" s="38" t="s">
        <v>48</v>
      </c>
      <c r="X269" s="41">
        <v>9500</v>
      </c>
      <c r="Y269" s="43">
        <v>1</v>
      </c>
      <c r="Z269" s="41">
        <f t="shared" si="126"/>
        <v>88350</v>
      </c>
      <c r="AA269" s="41">
        <f t="shared" si="154"/>
        <v>93000</v>
      </c>
      <c r="AB269" s="41">
        <f t="shared" si="127"/>
        <v>1674000</v>
      </c>
      <c r="AC269" s="38">
        <v>1</v>
      </c>
      <c r="AD269" s="44">
        <f t="shared" si="155"/>
        <v>3500000</v>
      </c>
      <c r="AE269" s="41">
        <f t="shared" si="128"/>
        <v>5913350</v>
      </c>
      <c r="AF269" s="313">
        <f>SUM(AE269:AE276)</f>
        <v>139400150</v>
      </c>
      <c r="AG269" s="45" t="s">
        <v>367</v>
      </c>
      <c r="AH269" s="46"/>
      <c r="AI269" s="46"/>
      <c r="AJ269" s="46"/>
    </row>
    <row r="270" spans="1:36" s="47" customFormat="1" ht="52.5" customHeight="1">
      <c r="A270" s="308"/>
      <c r="B270" s="33" t="s">
        <v>366</v>
      </c>
      <c r="C270" s="50">
        <v>194</v>
      </c>
      <c r="D270" s="50">
        <v>5</v>
      </c>
      <c r="E270" s="51">
        <v>240</v>
      </c>
      <c r="F270" s="34" t="s">
        <v>368</v>
      </c>
      <c r="G270" s="34" t="s">
        <v>99</v>
      </c>
      <c r="H270" s="35">
        <v>278.2</v>
      </c>
      <c r="I270" s="34" t="s">
        <v>45</v>
      </c>
      <c r="J270" s="36" t="s">
        <v>50</v>
      </c>
      <c r="K270" s="37">
        <f t="shared" si="150"/>
        <v>240</v>
      </c>
      <c r="L270" s="38">
        <f>H270-K270</f>
        <v>38.199999999999989</v>
      </c>
      <c r="M270" s="38"/>
      <c r="N270" s="38"/>
      <c r="O270" s="38"/>
      <c r="P270" s="39">
        <f t="shared" si="152"/>
        <v>278.2</v>
      </c>
      <c r="Q270" s="311"/>
      <c r="R270" s="40">
        <v>60000</v>
      </c>
      <c r="S270" s="41">
        <f t="shared" si="153"/>
        <v>16692000</v>
      </c>
      <c r="T270" s="41"/>
      <c r="U270" s="42" t="s">
        <v>182</v>
      </c>
      <c r="V270" s="66">
        <f t="shared" si="145"/>
        <v>278.2</v>
      </c>
      <c r="W270" s="38" t="s">
        <v>48</v>
      </c>
      <c r="X270" s="41">
        <v>9500</v>
      </c>
      <c r="Y270" s="43">
        <v>1</v>
      </c>
      <c r="Z270" s="41">
        <f t="shared" si="126"/>
        <v>2642900</v>
      </c>
      <c r="AA270" s="41">
        <f t="shared" si="154"/>
        <v>2782000</v>
      </c>
      <c r="AB270" s="41">
        <f t="shared" si="127"/>
        <v>50076000</v>
      </c>
      <c r="AC270" s="38"/>
      <c r="AD270" s="44">
        <f t="shared" si="155"/>
        <v>0</v>
      </c>
      <c r="AE270" s="41">
        <f t="shared" si="128"/>
        <v>72192900</v>
      </c>
      <c r="AF270" s="314"/>
      <c r="AG270" s="45"/>
      <c r="AH270" s="46"/>
      <c r="AI270" s="46"/>
      <c r="AJ270" s="46"/>
    </row>
    <row r="271" spans="1:36" s="47" customFormat="1" ht="52.5" customHeight="1">
      <c r="A271" s="308"/>
      <c r="B271" s="33" t="s">
        <v>366</v>
      </c>
      <c r="C271" s="50"/>
      <c r="D271" s="50"/>
      <c r="E271" s="51"/>
      <c r="F271" s="34" t="s">
        <v>368</v>
      </c>
      <c r="G271" s="34" t="s">
        <v>99</v>
      </c>
      <c r="H271" s="35">
        <v>278.2</v>
      </c>
      <c r="I271" s="34" t="s">
        <v>45</v>
      </c>
      <c r="J271" s="36" t="s">
        <v>50</v>
      </c>
      <c r="K271" s="37"/>
      <c r="L271" s="38"/>
      <c r="M271" s="38"/>
      <c r="N271" s="38"/>
      <c r="O271" s="38"/>
      <c r="P271" s="39">
        <f t="shared" si="152"/>
        <v>0</v>
      </c>
      <c r="Q271" s="311"/>
      <c r="R271" s="40"/>
      <c r="S271" s="41"/>
      <c r="T271" s="41"/>
      <c r="U271" s="42" t="s">
        <v>220</v>
      </c>
      <c r="V271" s="66">
        <v>104</v>
      </c>
      <c r="W271" s="38" t="s">
        <v>369</v>
      </c>
      <c r="X271" s="41"/>
      <c r="Y271" s="43"/>
      <c r="Z271" s="41"/>
      <c r="AA271" s="41"/>
      <c r="AB271" s="41"/>
      <c r="AC271" s="38"/>
      <c r="AD271" s="44">
        <f t="shared" si="155"/>
        <v>0</v>
      </c>
      <c r="AE271" s="41">
        <f t="shared" si="128"/>
        <v>0</v>
      </c>
      <c r="AF271" s="314"/>
      <c r="AG271" s="45" t="s">
        <v>174</v>
      </c>
      <c r="AH271" s="46"/>
      <c r="AI271" s="46"/>
      <c r="AJ271" s="46"/>
    </row>
    <row r="272" spans="1:36" s="47" customFormat="1" ht="52.5" customHeight="1">
      <c r="A272" s="308"/>
      <c r="B272" s="33" t="s">
        <v>366</v>
      </c>
      <c r="C272" s="50">
        <v>185</v>
      </c>
      <c r="D272" s="50">
        <v>5</v>
      </c>
      <c r="E272" s="51">
        <v>144</v>
      </c>
      <c r="F272" s="34" t="s">
        <v>370</v>
      </c>
      <c r="G272" s="34" t="s">
        <v>99</v>
      </c>
      <c r="H272" s="35">
        <v>96.4</v>
      </c>
      <c r="I272" s="34" t="s">
        <v>49</v>
      </c>
      <c r="J272" s="36" t="s">
        <v>57</v>
      </c>
      <c r="K272" s="37">
        <v>96.4</v>
      </c>
      <c r="L272" s="38">
        <f>H272-K272</f>
        <v>0</v>
      </c>
      <c r="M272" s="38"/>
      <c r="N272" s="38"/>
      <c r="O272" s="38"/>
      <c r="P272" s="39">
        <f t="shared" si="152"/>
        <v>96.4</v>
      </c>
      <c r="Q272" s="311"/>
      <c r="R272" s="40">
        <v>60000</v>
      </c>
      <c r="S272" s="41">
        <f>P272*R272</f>
        <v>5784000</v>
      </c>
      <c r="T272" s="41"/>
      <c r="U272" s="42" t="s">
        <v>182</v>
      </c>
      <c r="V272" s="66">
        <f t="shared" si="145"/>
        <v>96.4</v>
      </c>
      <c r="W272" s="38" t="s">
        <v>48</v>
      </c>
      <c r="X272" s="41">
        <v>9500</v>
      </c>
      <c r="Y272" s="43">
        <v>1</v>
      </c>
      <c r="Z272" s="41">
        <f t="shared" si="126"/>
        <v>915800</v>
      </c>
      <c r="AA272" s="41">
        <f>P272*10000</f>
        <v>964000</v>
      </c>
      <c r="AB272" s="41">
        <f t="shared" si="127"/>
        <v>17352000</v>
      </c>
      <c r="AC272" s="38"/>
      <c r="AD272" s="44">
        <f t="shared" si="155"/>
        <v>0</v>
      </c>
      <c r="AE272" s="41">
        <f t="shared" si="128"/>
        <v>25015800</v>
      </c>
      <c r="AF272" s="314"/>
      <c r="AG272" s="45"/>
      <c r="AH272" s="46"/>
      <c r="AI272" s="46"/>
      <c r="AJ272" s="46"/>
    </row>
    <row r="273" spans="1:36" s="47" customFormat="1" ht="52.5" customHeight="1">
      <c r="A273" s="308"/>
      <c r="B273" s="33" t="s">
        <v>366</v>
      </c>
      <c r="C273" s="50"/>
      <c r="D273" s="50"/>
      <c r="E273" s="51"/>
      <c r="F273" s="34" t="s">
        <v>370</v>
      </c>
      <c r="G273" s="34" t="s">
        <v>99</v>
      </c>
      <c r="H273" s="35">
        <v>96.4</v>
      </c>
      <c r="I273" s="34" t="s">
        <v>49</v>
      </c>
      <c r="J273" s="36" t="s">
        <v>57</v>
      </c>
      <c r="K273" s="37"/>
      <c r="L273" s="38"/>
      <c r="M273" s="38"/>
      <c r="N273" s="38"/>
      <c r="O273" s="38"/>
      <c r="P273" s="39">
        <f t="shared" si="152"/>
        <v>0</v>
      </c>
      <c r="Q273" s="311"/>
      <c r="R273" s="40"/>
      <c r="S273" s="41"/>
      <c r="T273" s="41"/>
      <c r="U273" s="42" t="s">
        <v>371</v>
      </c>
      <c r="V273" s="66">
        <v>4</v>
      </c>
      <c r="W273" s="38" t="s">
        <v>52</v>
      </c>
      <c r="X273" s="41"/>
      <c r="Y273" s="43"/>
      <c r="Z273" s="41"/>
      <c r="AA273" s="41"/>
      <c r="AB273" s="41"/>
      <c r="AC273" s="38"/>
      <c r="AD273" s="44">
        <f t="shared" si="155"/>
        <v>0</v>
      </c>
      <c r="AE273" s="41">
        <f t="shared" si="128"/>
        <v>0</v>
      </c>
      <c r="AF273" s="314"/>
      <c r="AG273" s="45" t="s">
        <v>174</v>
      </c>
      <c r="AH273" s="46"/>
      <c r="AI273" s="46"/>
      <c r="AJ273" s="46"/>
    </row>
    <row r="274" spans="1:36" s="47" customFormat="1" ht="52.5" customHeight="1">
      <c r="A274" s="308"/>
      <c r="B274" s="33" t="s">
        <v>366</v>
      </c>
      <c r="C274" s="50"/>
      <c r="D274" s="50"/>
      <c r="E274" s="51"/>
      <c r="F274" s="34" t="s">
        <v>370</v>
      </c>
      <c r="G274" s="34" t="s">
        <v>99</v>
      </c>
      <c r="H274" s="35">
        <v>96.4</v>
      </c>
      <c r="I274" s="34" t="s">
        <v>49</v>
      </c>
      <c r="J274" s="36" t="s">
        <v>57</v>
      </c>
      <c r="K274" s="37"/>
      <c r="L274" s="38"/>
      <c r="M274" s="38"/>
      <c r="N274" s="38"/>
      <c r="O274" s="38"/>
      <c r="P274" s="39">
        <f t="shared" si="152"/>
        <v>0</v>
      </c>
      <c r="Q274" s="311"/>
      <c r="R274" s="40"/>
      <c r="S274" s="41"/>
      <c r="T274" s="41"/>
      <c r="U274" s="42" t="s">
        <v>225</v>
      </c>
      <c r="V274" s="66">
        <v>28</v>
      </c>
      <c r="W274" s="38" t="s">
        <v>52</v>
      </c>
      <c r="X274" s="41"/>
      <c r="Y274" s="43"/>
      <c r="Z274" s="41"/>
      <c r="AA274" s="41"/>
      <c r="AB274" s="41"/>
      <c r="AC274" s="38"/>
      <c r="AD274" s="44">
        <f t="shared" si="155"/>
        <v>0</v>
      </c>
      <c r="AE274" s="41">
        <f t="shared" si="128"/>
        <v>0</v>
      </c>
      <c r="AF274" s="314"/>
      <c r="AG274" s="45" t="s">
        <v>174</v>
      </c>
      <c r="AH274" s="46"/>
      <c r="AI274" s="46"/>
      <c r="AJ274" s="46"/>
    </row>
    <row r="275" spans="1:36" s="47" customFormat="1" ht="52.5" customHeight="1">
      <c r="A275" s="308"/>
      <c r="B275" s="33" t="s">
        <v>366</v>
      </c>
      <c r="C275" s="50">
        <v>211</v>
      </c>
      <c r="D275" s="50">
        <v>4</v>
      </c>
      <c r="E275" s="51">
        <v>180</v>
      </c>
      <c r="F275" s="34" t="s">
        <v>372</v>
      </c>
      <c r="G275" s="34" t="s">
        <v>99</v>
      </c>
      <c r="H275" s="35">
        <v>139.80000000000001</v>
      </c>
      <c r="I275" s="34" t="s">
        <v>49</v>
      </c>
      <c r="J275" s="36" t="s">
        <v>57</v>
      </c>
      <c r="K275" s="37">
        <v>75.2</v>
      </c>
      <c r="L275" s="38"/>
      <c r="M275" s="38"/>
      <c r="N275" s="38"/>
      <c r="O275" s="38">
        <v>64.599999999999994</v>
      </c>
      <c r="P275" s="39">
        <f t="shared" si="152"/>
        <v>139.80000000000001</v>
      </c>
      <c r="Q275" s="311"/>
      <c r="R275" s="40">
        <v>60000</v>
      </c>
      <c r="S275" s="41">
        <f>P275*R275</f>
        <v>8388000.0000000009</v>
      </c>
      <c r="T275" s="41"/>
      <c r="U275" s="42" t="s">
        <v>373</v>
      </c>
      <c r="V275" s="66">
        <f t="shared" si="145"/>
        <v>139.80000000000001</v>
      </c>
      <c r="W275" s="38" t="s">
        <v>48</v>
      </c>
      <c r="X275" s="41">
        <v>9500</v>
      </c>
      <c r="Y275" s="43">
        <v>1</v>
      </c>
      <c r="Z275" s="41">
        <f t="shared" ref="Z275:Z337" si="156">V275*X275*Y275</f>
        <v>1328100</v>
      </c>
      <c r="AA275" s="41">
        <f>P275*10000</f>
        <v>1398000</v>
      </c>
      <c r="AB275" s="41">
        <f t="shared" ref="AB275:AB338" si="157">P275*R275*3</f>
        <v>25164000.000000004</v>
      </c>
      <c r="AC275" s="38"/>
      <c r="AD275" s="44">
        <f t="shared" si="155"/>
        <v>0</v>
      </c>
      <c r="AE275" s="41">
        <f t="shared" ref="AE275:AE338" si="158">S275+Z275+AA275+AB275+AD275+T275</f>
        <v>36278100</v>
      </c>
      <c r="AF275" s="314"/>
      <c r="AG275" s="45" t="s">
        <v>118</v>
      </c>
      <c r="AH275" s="46"/>
      <c r="AI275" s="46"/>
      <c r="AJ275" s="46"/>
    </row>
    <row r="276" spans="1:36" s="47" customFormat="1" ht="52.5" customHeight="1">
      <c r="A276" s="309"/>
      <c r="B276" s="33" t="s">
        <v>366</v>
      </c>
      <c r="C276" s="50"/>
      <c r="D276" s="50"/>
      <c r="E276" s="51"/>
      <c r="F276" s="34" t="s">
        <v>372</v>
      </c>
      <c r="G276" s="34" t="s">
        <v>99</v>
      </c>
      <c r="H276" s="35">
        <v>139.80000000000001</v>
      </c>
      <c r="I276" s="34" t="s">
        <v>49</v>
      </c>
      <c r="J276" s="36" t="s">
        <v>57</v>
      </c>
      <c r="K276" s="37"/>
      <c r="L276" s="38"/>
      <c r="M276" s="38"/>
      <c r="N276" s="38"/>
      <c r="O276" s="38"/>
      <c r="P276" s="39">
        <f t="shared" si="152"/>
        <v>0</v>
      </c>
      <c r="Q276" s="312"/>
      <c r="R276" s="40"/>
      <c r="S276" s="41"/>
      <c r="T276" s="41"/>
      <c r="U276" s="42" t="s">
        <v>374</v>
      </c>
      <c r="V276" s="66">
        <v>36</v>
      </c>
      <c r="W276" s="38"/>
      <c r="X276" s="41"/>
      <c r="Y276" s="43"/>
      <c r="Z276" s="41"/>
      <c r="AA276" s="41"/>
      <c r="AB276" s="41"/>
      <c r="AC276" s="38"/>
      <c r="AD276" s="44">
        <f t="shared" si="155"/>
        <v>0</v>
      </c>
      <c r="AE276" s="41">
        <f t="shared" si="158"/>
        <v>0</v>
      </c>
      <c r="AF276" s="315"/>
      <c r="AG276" s="45" t="s">
        <v>174</v>
      </c>
      <c r="AH276" s="46"/>
      <c r="AI276" s="46"/>
      <c r="AJ276" s="46"/>
    </row>
    <row r="277" spans="1:36" s="68" customFormat="1" ht="52.5" customHeight="1">
      <c r="A277" s="307">
        <v>76</v>
      </c>
      <c r="B277" s="33" t="s">
        <v>375</v>
      </c>
      <c r="C277" s="50"/>
      <c r="D277" s="50"/>
      <c r="E277" s="51"/>
      <c r="F277" s="34">
        <v>198</v>
      </c>
      <c r="G277" s="34" t="s">
        <v>96</v>
      </c>
      <c r="H277" s="35">
        <v>149.19999999999999</v>
      </c>
      <c r="I277" s="34" t="s">
        <v>55</v>
      </c>
      <c r="J277" s="36" t="s">
        <v>54</v>
      </c>
      <c r="K277" s="37"/>
      <c r="L277" s="38"/>
      <c r="M277" s="38">
        <v>149.19999999999999</v>
      </c>
      <c r="N277" s="38"/>
      <c r="O277" s="38"/>
      <c r="P277" s="39">
        <f t="shared" si="152"/>
        <v>149.19999999999999</v>
      </c>
      <c r="Q277" s="310">
        <f>SUM(P277:P282)</f>
        <v>1006.8000000000001</v>
      </c>
      <c r="R277" s="40">
        <v>55000</v>
      </c>
      <c r="S277" s="41">
        <f t="shared" ref="S277:S310" si="159">P277*R277</f>
        <v>8205999.9999999991</v>
      </c>
      <c r="T277" s="41"/>
      <c r="U277" s="42" t="s">
        <v>90</v>
      </c>
      <c r="V277" s="66">
        <v>18</v>
      </c>
      <c r="W277" s="38" t="s">
        <v>52</v>
      </c>
      <c r="X277" s="41">
        <v>300000</v>
      </c>
      <c r="Y277" s="43">
        <v>1</v>
      </c>
      <c r="Z277" s="41">
        <f t="shared" ref="Z277" si="160">V277*X277*Y277</f>
        <v>5400000</v>
      </c>
      <c r="AA277" s="41">
        <f t="shared" ref="AA277:AA278" si="161">P277*7000</f>
        <v>1044399.9999999999</v>
      </c>
      <c r="AB277" s="41">
        <f t="shared" ref="AB277:AB278" si="162">P277*R277*3</f>
        <v>24617999.999999996</v>
      </c>
      <c r="AC277" s="38">
        <v>2</v>
      </c>
      <c r="AD277" s="44">
        <f t="shared" si="155"/>
        <v>7000000</v>
      </c>
      <c r="AE277" s="41">
        <f t="shared" si="158"/>
        <v>46268400</v>
      </c>
      <c r="AF277" s="313">
        <f>SUM(AE277:AE282)</f>
        <v>272622900</v>
      </c>
      <c r="AG277" s="45" t="s">
        <v>376</v>
      </c>
      <c r="AH277" s="67"/>
      <c r="AI277" s="67"/>
      <c r="AJ277" s="67"/>
    </row>
    <row r="278" spans="1:36" s="68" customFormat="1" ht="52.5" customHeight="1">
      <c r="A278" s="308"/>
      <c r="B278" s="33" t="s">
        <v>375</v>
      </c>
      <c r="C278" s="50"/>
      <c r="D278" s="50"/>
      <c r="E278" s="51"/>
      <c r="F278" s="34">
        <v>197</v>
      </c>
      <c r="G278" s="34" t="s">
        <v>96</v>
      </c>
      <c r="H278" s="35">
        <v>135.6</v>
      </c>
      <c r="I278" s="34" t="s">
        <v>55</v>
      </c>
      <c r="J278" s="36" t="s">
        <v>54</v>
      </c>
      <c r="K278" s="37"/>
      <c r="L278" s="38"/>
      <c r="M278" s="38">
        <v>135.6</v>
      </c>
      <c r="N278" s="38"/>
      <c r="O278" s="38"/>
      <c r="P278" s="39">
        <f t="shared" si="152"/>
        <v>135.6</v>
      </c>
      <c r="Q278" s="311"/>
      <c r="R278" s="40">
        <v>55000</v>
      </c>
      <c r="S278" s="41">
        <f t="shared" si="159"/>
        <v>7458000</v>
      </c>
      <c r="T278" s="41"/>
      <c r="U278" s="42" t="s">
        <v>90</v>
      </c>
      <c r="V278" s="66">
        <v>18</v>
      </c>
      <c r="W278" s="38" t="s">
        <v>52</v>
      </c>
      <c r="X278" s="41">
        <v>300000</v>
      </c>
      <c r="Y278" s="43">
        <v>1</v>
      </c>
      <c r="Z278" s="41">
        <f t="shared" si="156"/>
        <v>5400000</v>
      </c>
      <c r="AA278" s="41">
        <f t="shared" si="161"/>
        <v>949200</v>
      </c>
      <c r="AB278" s="41">
        <f t="shared" si="162"/>
        <v>22374000</v>
      </c>
      <c r="AC278" s="38"/>
      <c r="AD278" s="44">
        <f t="shared" si="155"/>
        <v>0</v>
      </c>
      <c r="AE278" s="41">
        <f t="shared" si="158"/>
        <v>36181200</v>
      </c>
      <c r="AF278" s="314"/>
      <c r="AG278" s="45"/>
      <c r="AH278" s="67"/>
      <c r="AI278" s="67"/>
      <c r="AJ278" s="67"/>
    </row>
    <row r="279" spans="1:36" s="68" customFormat="1" ht="52.5" customHeight="1">
      <c r="A279" s="308"/>
      <c r="B279" s="33" t="s">
        <v>375</v>
      </c>
      <c r="C279" s="50">
        <v>120</v>
      </c>
      <c r="D279" s="50">
        <v>5</v>
      </c>
      <c r="E279" s="51">
        <v>120</v>
      </c>
      <c r="F279" s="34" t="s">
        <v>377</v>
      </c>
      <c r="G279" s="34" t="s">
        <v>99</v>
      </c>
      <c r="H279" s="35">
        <v>134.6</v>
      </c>
      <c r="I279" s="34" t="s">
        <v>49</v>
      </c>
      <c r="J279" s="36" t="s">
        <v>50</v>
      </c>
      <c r="K279" s="37">
        <f t="shared" si="150"/>
        <v>120</v>
      </c>
      <c r="L279" s="38">
        <f t="shared" ref="L279:L291" si="163">H279-K279</f>
        <v>14.599999999999994</v>
      </c>
      <c r="M279" s="38"/>
      <c r="N279" s="38"/>
      <c r="O279" s="38"/>
      <c r="P279" s="39">
        <f t="shared" si="152"/>
        <v>134.6</v>
      </c>
      <c r="Q279" s="311"/>
      <c r="R279" s="40">
        <v>60000</v>
      </c>
      <c r="S279" s="41">
        <f t="shared" si="159"/>
        <v>8076000</v>
      </c>
      <c r="T279" s="41"/>
      <c r="U279" s="42" t="s">
        <v>64</v>
      </c>
      <c r="V279" s="66">
        <f t="shared" ref="V279:V303" si="164">P279</f>
        <v>134.6</v>
      </c>
      <c r="W279" s="38" t="s">
        <v>52</v>
      </c>
      <c r="X279" s="41">
        <v>9500</v>
      </c>
      <c r="Y279" s="43">
        <v>1</v>
      </c>
      <c r="Z279" s="41">
        <f t="shared" si="156"/>
        <v>1278700</v>
      </c>
      <c r="AA279" s="41">
        <f t="shared" ref="AA279:AA310" si="165">P279*10000</f>
        <v>1346000</v>
      </c>
      <c r="AB279" s="41">
        <f t="shared" si="157"/>
        <v>24228000</v>
      </c>
      <c r="AC279" s="38"/>
      <c r="AD279" s="44">
        <f t="shared" si="155"/>
        <v>0</v>
      </c>
      <c r="AE279" s="41">
        <f t="shared" si="158"/>
        <v>34928700</v>
      </c>
      <c r="AF279" s="314"/>
      <c r="AG279" s="81">
        <f>Q277*40000</f>
        <v>40272000</v>
      </c>
      <c r="AH279" s="67"/>
      <c r="AI279" s="67"/>
      <c r="AJ279" s="67"/>
    </row>
    <row r="280" spans="1:36" s="68" customFormat="1" ht="52.5" customHeight="1">
      <c r="A280" s="308"/>
      <c r="B280" s="33" t="s">
        <v>375</v>
      </c>
      <c r="C280" s="50"/>
      <c r="D280" s="50"/>
      <c r="E280" s="51"/>
      <c r="F280" s="34" t="s">
        <v>378</v>
      </c>
      <c r="G280" s="34" t="s">
        <v>99</v>
      </c>
      <c r="H280" s="35">
        <v>156.80000000000001</v>
      </c>
      <c r="I280" s="34" t="s">
        <v>49</v>
      </c>
      <c r="J280" s="36" t="s">
        <v>50</v>
      </c>
      <c r="K280" s="37"/>
      <c r="L280" s="38">
        <f t="shared" si="163"/>
        <v>156.80000000000001</v>
      </c>
      <c r="M280" s="38"/>
      <c r="N280" s="38"/>
      <c r="O280" s="38"/>
      <c r="P280" s="39">
        <f t="shared" si="152"/>
        <v>156.80000000000001</v>
      </c>
      <c r="Q280" s="240"/>
      <c r="R280" s="40">
        <v>60000</v>
      </c>
      <c r="S280" s="41">
        <f t="shared" si="159"/>
        <v>9408000</v>
      </c>
      <c r="T280" s="41"/>
      <c r="U280" s="42" t="s">
        <v>64</v>
      </c>
      <c r="V280" s="66">
        <f t="shared" si="164"/>
        <v>156.80000000000001</v>
      </c>
      <c r="W280" s="38" t="s">
        <v>52</v>
      </c>
      <c r="X280" s="41">
        <v>9500</v>
      </c>
      <c r="Y280" s="43">
        <v>1</v>
      </c>
      <c r="Z280" s="41">
        <f t="shared" si="156"/>
        <v>1489600</v>
      </c>
      <c r="AA280" s="41">
        <f t="shared" si="165"/>
        <v>1568000</v>
      </c>
      <c r="AB280" s="41">
        <f t="shared" si="157"/>
        <v>28224000</v>
      </c>
      <c r="AC280" s="38"/>
      <c r="AD280" s="44">
        <f t="shared" si="155"/>
        <v>0</v>
      </c>
      <c r="AE280" s="41">
        <f t="shared" si="158"/>
        <v>40689600</v>
      </c>
      <c r="AF280" s="175"/>
      <c r="AG280" s="45"/>
      <c r="AH280" s="67"/>
      <c r="AI280" s="67"/>
      <c r="AJ280" s="67"/>
    </row>
    <row r="281" spans="1:36" s="68" customFormat="1" ht="52.5" customHeight="1">
      <c r="A281" s="308"/>
      <c r="B281" s="33" t="s">
        <v>375</v>
      </c>
      <c r="C281" s="50"/>
      <c r="D281" s="50"/>
      <c r="E281" s="51"/>
      <c r="F281" s="34" t="s">
        <v>379</v>
      </c>
      <c r="G281" s="34" t="s">
        <v>99</v>
      </c>
      <c r="H281" s="35">
        <v>287.60000000000002</v>
      </c>
      <c r="I281" s="34" t="s">
        <v>49</v>
      </c>
      <c r="J281" s="36" t="s">
        <v>57</v>
      </c>
      <c r="K281" s="37"/>
      <c r="L281" s="38">
        <f t="shared" si="163"/>
        <v>287.60000000000002</v>
      </c>
      <c r="M281" s="38"/>
      <c r="N281" s="38"/>
      <c r="O281" s="38">
        <f>287.6-L281</f>
        <v>0</v>
      </c>
      <c r="P281" s="39">
        <f t="shared" si="152"/>
        <v>287.60000000000002</v>
      </c>
      <c r="Q281" s="240"/>
      <c r="R281" s="40">
        <v>60000</v>
      </c>
      <c r="S281" s="41">
        <f t="shared" si="159"/>
        <v>17256000</v>
      </c>
      <c r="T281" s="41"/>
      <c r="U281" s="42" t="s">
        <v>182</v>
      </c>
      <c r="V281" s="66">
        <f t="shared" si="164"/>
        <v>287.60000000000002</v>
      </c>
      <c r="W281" s="38" t="s">
        <v>52</v>
      </c>
      <c r="X281" s="41">
        <v>9500</v>
      </c>
      <c r="Y281" s="43">
        <v>1</v>
      </c>
      <c r="Z281" s="41">
        <f t="shared" si="156"/>
        <v>2732200</v>
      </c>
      <c r="AA281" s="41">
        <f t="shared" si="165"/>
        <v>2876000</v>
      </c>
      <c r="AB281" s="41">
        <f t="shared" si="157"/>
        <v>51768000</v>
      </c>
      <c r="AC281" s="38"/>
      <c r="AD281" s="44">
        <f t="shared" si="155"/>
        <v>0</v>
      </c>
      <c r="AE281" s="41">
        <f t="shared" si="158"/>
        <v>74632200</v>
      </c>
      <c r="AF281" s="175"/>
      <c r="AG281" s="45"/>
      <c r="AH281" s="67"/>
      <c r="AI281" s="67"/>
      <c r="AJ281" s="67"/>
    </row>
    <row r="282" spans="1:36" s="68" customFormat="1" ht="54.75" customHeight="1">
      <c r="A282" s="309"/>
      <c r="B282" s="33" t="s">
        <v>375</v>
      </c>
      <c r="C282" s="50">
        <v>97</v>
      </c>
      <c r="D282" s="50">
        <v>5</v>
      </c>
      <c r="E282" s="51">
        <v>108</v>
      </c>
      <c r="F282" s="34" t="s">
        <v>380</v>
      </c>
      <c r="G282" s="34" t="s">
        <v>99</v>
      </c>
      <c r="H282" s="35">
        <v>261.89999999999998</v>
      </c>
      <c r="I282" s="34" t="s">
        <v>55</v>
      </c>
      <c r="J282" s="36" t="s">
        <v>60</v>
      </c>
      <c r="K282" s="37">
        <v>108</v>
      </c>
      <c r="L282" s="38">
        <f>143-108</f>
        <v>35</v>
      </c>
      <c r="M282" s="38"/>
      <c r="N282" s="38"/>
      <c r="O282" s="38"/>
      <c r="P282" s="39">
        <f t="shared" si="152"/>
        <v>143</v>
      </c>
      <c r="Q282" s="94"/>
      <c r="R282" s="40">
        <v>60000</v>
      </c>
      <c r="S282" s="41">
        <f t="shared" si="159"/>
        <v>8580000</v>
      </c>
      <c r="T282" s="41"/>
      <c r="U282" s="42" t="s">
        <v>188</v>
      </c>
      <c r="V282" s="66">
        <v>32</v>
      </c>
      <c r="W282" s="38" t="s">
        <v>48</v>
      </c>
      <c r="X282" s="41">
        <v>163000</v>
      </c>
      <c r="Y282" s="43">
        <v>0.8</v>
      </c>
      <c r="Z282" s="41">
        <f t="shared" si="156"/>
        <v>4172800</v>
      </c>
      <c r="AA282" s="41">
        <f t="shared" si="165"/>
        <v>1430000</v>
      </c>
      <c r="AB282" s="41">
        <f t="shared" si="157"/>
        <v>25740000</v>
      </c>
      <c r="AC282" s="38"/>
      <c r="AD282" s="44">
        <f t="shared" si="155"/>
        <v>0</v>
      </c>
      <c r="AE282" s="41">
        <f t="shared" si="158"/>
        <v>39922800</v>
      </c>
      <c r="AF282" s="176"/>
      <c r="AG282" s="45" t="s">
        <v>381</v>
      </c>
      <c r="AH282" s="67"/>
      <c r="AI282" s="67"/>
      <c r="AJ282" s="67"/>
    </row>
    <row r="283" spans="1:36" s="68" customFormat="1" ht="64.5" customHeight="1">
      <c r="A283" s="307">
        <v>77</v>
      </c>
      <c r="B283" s="33" t="s">
        <v>382</v>
      </c>
      <c r="C283" s="50"/>
      <c r="D283" s="50"/>
      <c r="E283" s="51"/>
      <c r="F283" s="34">
        <v>218</v>
      </c>
      <c r="G283" s="34">
        <v>28</v>
      </c>
      <c r="H283" s="35">
        <v>59.8</v>
      </c>
      <c r="I283" s="34" t="s">
        <v>45</v>
      </c>
      <c r="J283" s="36" t="s">
        <v>50</v>
      </c>
      <c r="K283" s="37"/>
      <c r="L283" s="38">
        <f t="shared" ref="L283" si="166">H283-K283</f>
        <v>59.8</v>
      </c>
      <c r="M283" s="38"/>
      <c r="N283" s="38"/>
      <c r="O283" s="38"/>
      <c r="P283" s="39">
        <f t="shared" si="152"/>
        <v>59.8</v>
      </c>
      <c r="Q283" s="310">
        <f>SUM(P283:P291)</f>
        <v>1682.4</v>
      </c>
      <c r="R283" s="40">
        <v>60000</v>
      </c>
      <c r="S283" s="41">
        <f t="shared" si="159"/>
        <v>3588000</v>
      </c>
      <c r="T283" s="41"/>
      <c r="U283" s="42" t="s">
        <v>64</v>
      </c>
      <c r="V283" s="66">
        <f t="shared" ref="V283" si="167">P283</f>
        <v>59.8</v>
      </c>
      <c r="W283" s="38" t="s">
        <v>48</v>
      </c>
      <c r="X283" s="41">
        <v>9500</v>
      </c>
      <c r="Y283" s="43">
        <v>1</v>
      </c>
      <c r="Z283" s="41">
        <f t="shared" si="156"/>
        <v>568100</v>
      </c>
      <c r="AA283" s="41">
        <f t="shared" si="165"/>
        <v>598000</v>
      </c>
      <c r="AB283" s="41">
        <f t="shared" si="157"/>
        <v>10764000</v>
      </c>
      <c r="AC283" s="38"/>
      <c r="AD283" s="44"/>
      <c r="AE283" s="41">
        <f t="shared" si="158"/>
        <v>15518100</v>
      </c>
      <c r="AF283" s="313">
        <f>SUM(AE283:AE291)</f>
        <v>449005650</v>
      </c>
      <c r="AG283" s="45" t="s">
        <v>383</v>
      </c>
      <c r="AH283" s="67"/>
      <c r="AI283" s="67"/>
      <c r="AJ283" s="67"/>
    </row>
    <row r="284" spans="1:36" s="68" customFormat="1" ht="64.5" customHeight="1">
      <c r="A284" s="308"/>
      <c r="B284" s="33" t="s">
        <v>382</v>
      </c>
      <c r="C284" s="50">
        <v>9</v>
      </c>
      <c r="D284" s="50">
        <v>4</v>
      </c>
      <c r="E284" s="51">
        <v>312</v>
      </c>
      <c r="F284" s="34" t="s">
        <v>384</v>
      </c>
      <c r="G284" s="34" t="s">
        <v>96</v>
      </c>
      <c r="H284" s="35">
        <v>368.6</v>
      </c>
      <c r="I284" s="34" t="s">
        <v>45</v>
      </c>
      <c r="J284" s="36" t="s">
        <v>54</v>
      </c>
      <c r="K284" s="37">
        <f t="shared" si="150"/>
        <v>312</v>
      </c>
      <c r="L284" s="38">
        <f t="shared" si="163"/>
        <v>56.600000000000023</v>
      </c>
      <c r="M284" s="38"/>
      <c r="N284" s="38"/>
      <c r="O284" s="38"/>
      <c r="P284" s="39">
        <f t="shared" si="152"/>
        <v>368.6</v>
      </c>
      <c r="Q284" s="311"/>
      <c r="R284" s="40">
        <v>60000</v>
      </c>
      <c r="S284" s="41">
        <f t="shared" si="159"/>
        <v>22116000</v>
      </c>
      <c r="T284" s="41"/>
      <c r="U284" s="42" t="s">
        <v>64</v>
      </c>
      <c r="V284" s="66">
        <f t="shared" si="164"/>
        <v>368.6</v>
      </c>
      <c r="W284" s="38" t="s">
        <v>48</v>
      </c>
      <c r="X284" s="41">
        <v>9500</v>
      </c>
      <c r="Y284" s="43">
        <v>1</v>
      </c>
      <c r="Z284" s="41">
        <f t="shared" si="156"/>
        <v>3501700</v>
      </c>
      <c r="AA284" s="41">
        <f t="shared" si="165"/>
        <v>3686000</v>
      </c>
      <c r="AB284" s="41">
        <f t="shared" si="157"/>
        <v>66348000</v>
      </c>
      <c r="AC284" s="38">
        <v>4</v>
      </c>
      <c r="AD284" s="44">
        <f t="shared" si="155"/>
        <v>14000000</v>
      </c>
      <c r="AE284" s="41">
        <f t="shared" si="158"/>
        <v>109651700</v>
      </c>
      <c r="AF284" s="314"/>
      <c r="AG284" s="45"/>
      <c r="AH284" s="67"/>
      <c r="AI284" s="67"/>
      <c r="AJ284" s="67"/>
    </row>
    <row r="285" spans="1:36" s="68" customFormat="1" ht="64.5" customHeight="1">
      <c r="A285" s="308"/>
      <c r="B285" s="33" t="s">
        <v>382</v>
      </c>
      <c r="C285" s="72">
        <v>98</v>
      </c>
      <c r="D285" s="72">
        <v>4</v>
      </c>
      <c r="E285" s="73">
        <v>360</v>
      </c>
      <c r="F285" s="34" t="s">
        <v>385</v>
      </c>
      <c r="G285" s="34" t="s">
        <v>99</v>
      </c>
      <c r="H285" s="35">
        <v>471.5</v>
      </c>
      <c r="I285" s="34" t="s">
        <v>45</v>
      </c>
      <c r="J285" s="36" t="s">
        <v>60</v>
      </c>
      <c r="K285" s="37">
        <v>354.7</v>
      </c>
      <c r="L285" s="38"/>
      <c r="M285" s="38"/>
      <c r="N285" s="38"/>
      <c r="O285" s="38"/>
      <c r="P285" s="39">
        <f t="shared" si="152"/>
        <v>354.7</v>
      </c>
      <c r="Q285" s="311"/>
      <c r="R285" s="40">
        <v>60000</v>
      </c>
      <c r="S285" s="41">
        <f t="shared" si="159"/>
        <v>21282000</v>
      </c>
      <c r="T285" s="41"/>
      <c r="U285" s="42" t="s">
        <v>64</v>
      </c>
      <c r="V285" s="66">
        <f t="shared" si="164"/>
        <v>354.7</v>
      </c>
      <c r="W285" s="38" t="s">
        <v>48</v>
      </c>
      <c r="X285" s="41">
        <v>9500</v>
      </c>
      <c r="Y285" s="43">
        <v>1</v>
      </c>
      <c r="Z285" s="41">
        <f t="shared" si="156"/>
        <v>3369650</v>
      </c>
      <c r="AA285" s="41">
        <f t="shared" si="165"/>
        <v>3547000</v>
      </c>
      <c r="AB285" s="41">
        <f t="shared" si="157"/>
        <v>63846000</v>
      </c>
      <c r="AC285" s="38"/>
      <c r="AD285" s="44">
        <f t="shared" si="155"/>
        <v>0</v>
      </c>
      <c r="AE285" s="41">
        <f t="shared" si="158"/>
        <v>92044650</v>
      </c>
      <c r="AF285" s="314"/>
      <c r="AG285" s="45"/>
      <c r="AH285" s="67"/>
      <c r="AI285" s="67"/>
      <c r="AJ285" s="67"/>
    </row>
    <row r="286" spans="1:36" s="68" customFormat="1" ht="64.5" customHeight="1">
      <c r="A286" s="308"/>
      <c r="B286" s="33" t="s">
        <v>382</v>
      </c>
      <c r="C286" s="77"/>
      <c r="D286" s="77"/>
      <c r="E286" s="78"/>
      <c r="F286" s="34">
        <v>73</v>
      </c>
      <c r="G286" s="34" t="s">
        <v>99</v>
      </c>
      <c r="H286" s="35">
        <v>373.1</v>
      </c>
      <c r="I286" s="34" t="s">
        <v>45</v>
      </c>
      <c r="J286" s="36" t="s">
        <v>60</v>
      </c>
      <c r="K286" s="37">
        <f>360-354.7</f>
        <v>5.3000000000000114</v>
      </c>
      <c r="L286" s="38">
        <f>46.4-5.3</f>
        <v>41.1</v>
      </c>
      <c r="M286" s="38"/>
      <c r="N286" s="38"/>
      <c r="O286" s="38"/>
      <c r="P286" s="39">
        <f t="shared" si="152"/>
        <v>46.400000000000013</v>
      </c>
      <c r="Q286" s="311"/>
      <c r="R286" s="40">
        <v>60000</v>
      </c>
      <c r="S286" s="41">
        <f t="shared" si="159"/>
        <v>2784000.0000000009</v>
      </c>
      <c r="T286" s="41"/>
      <c r="U286" s="42" t="s">
        <v>64</v>
      </c>
      <c r="V286" s="66">
        <f t="shared" si="164"/>
        <v>46.400000000000013</v>
      </c>
      <c r="W286" s="38" t="s">
        <v>48</v>
      </c>
      <c r="X286" s="41">
        <v>9500</v>
      </c>
      <c r="Y286" s="43">
        <v>1</v>
      </c>
      <c r="Z286" s="41">
        <f t="shared" si="156"/>
        <v>440800.00000000012</v>
      </c>
      <c r="AA286" s="41">
        <f t="shared" si="165"/>
        <v>464000.00000000012</v>
      </c>
      <c r="AB286" s="41">
        <f t="shared" si="157"/>
        <v>8352000.0000000028</v>
      </c>
      <c r="AC286" s="38"/>
      <c r="AD286" s="44">
        <f t="shared" si="155"/>
        <v>0</v>
      </c>
      <c r="AE286" s="41">
        <f t="shared" si="158"/>
        <v>12040800.000000004</v>
      </c>
      <c r="AF286" s="314"/>
      <c r="AG286" s="45"/>
      <c r="AH286" s="67"/>
      <c r="AI286" s="67"/>
      <c r="AJ286" s="67"/>
    </row>
    <row r="287" spans="1:36" s="68" customFormat="1" ht="64.5" customHeight="1">
      <c r="A287" s="308"/>
      <c r="B287" s="33" t="s">
        <v>382</v>
      </c>
      <c r="C287" s="50">
        <v>86</v>
      </c>
      <c r="D287" s="50">
        <v>4</v>
      </c>
      <c r="E287" s="51">
        <v>84</v>
      </c>
      <c r="F287" s="34" t="s">
        <v>386</v>
      </c>
      <c r="G287" s="34" t="s">
        <v>99</v>
      </c>
      <c r="H287" s="35">
        <v>197.4</v>
      </c>
      <c r="I287" s="34" t="s">
        <v>55</v>
      </c>
      <c r="J287" s="36" t="s">
        <v>60</v>
      </c>
      <c r="K287" s="37">
        <f t="shared" si="150"/>
        <v>84</v>
      </c>
      <c r="L287" s="38">
        <f>197.4-84-60</f>
        <v>53.400000000000006</v>
      </c>
      <c r="M287" s="38"/>
      <c r="N287" s="38"/>
      <c r="O287" s="38"/>
      <c r="P287" s="39">
        <f t="shared" si="152"/>
        <v>137.4</v>
      </c>
      <c r="Q287" s="311"/>
      <c r="R287" s="40">
        <v>60000</v>
      </c>
      <c r="S287" s="41">
        <f t="shared" si="159"/>
        <v>8244000</v>
      </c>
      <c r="T287" s="41"/>
      <c r="U287" s="42" t="s">
        <v>64</v>
      </c>
      <c r="V287" s="66">
        <f t="shared" si="164"/>
        <v>137.4</v>
      </c>
      <c r="W287" s="38" t="s">
        <v>48</v>
      </c>
      <c r="X287" s="41">
        <v>9500</v>
      </c>
      <c r="Y287" s="43">
        <v>1</v>
      </c>
      <c r="Z287" s="41">
        <f t="shared" si="156"/>
        <v>1305300</v>
      </c>
      <c r="AA287" s="41">
        <f t="shared" si="165"/>
        <v>1374000</v>
      </c>
      <c r="AB287" s="41">
        <f t="shared" si="157"/>
        <v>24732000</v>
      </c>
      <c r="AC287" s="38"/>
      <c r="AD287" s="44">
        <f t="shared" si="155"/>
        <v>0</v>
      </c>
      <c r="AE287" s="41">
        <f t="shared" si="158"/>
        <v>35655300</v>
      </c>
      <c r="AF287" s="314"/>
      <c r="AG287" s="45"/>
      <c r="AH287" s="67"/>
      <c r="AI287" s="67"/>
      <c r="AJ287" s="67"/>
    </row>
    <row r="288" spans="1:36" s="68" customFormat="1" ht="64.5" customHeight="1">
      <c r="A288" s="308"/>
      <c r="B288" s="33" t="s">
        <v>382</v>
      </c>
      <c r="C288" s="50"/>
      <c r="D288" s="50"/>
      <c r="E288" s="51"/>
      <c r="F288" s="34" t="s">
        <v>387</v>
      </c>
      <c r="G288" s="34" t="s">
        <v>99</v>
      </c>
      <c r="H288" s="35">
        <v>67.8</v>
      </c>
      <c r="I288" s="34" t="s">
        <v>45</v>
      </c>
      <c r="J288" s="36" t="s">
        <v>50</v>
      </c>
      <c r="K288" s="37"/>
      <c r="L288" s="38">
        <f t="shared" si="163"/>
        <v>67.8</v>
      </c>
      <c r="M288" s="38"/>
      <c r="N288" s="38"/>
      <c r="O288" s="38"/>
      <c r="P288" s="39">
        <f t="shared" si="152"/>
        <v>67.8</v>
      </c>
      <c r="Q288" s="311"/>
      <c r="R288" s="40">
        <v>60000</v>
      </c>
      <c r="S288" s="41">
        <f t="shared" si="159"/>
        <v>4068000</v>
      </c>
      <c r="T288" s="41"/>
      <c r="U288" s="42" t="s">
        <v>64</v>
      </c>
      <c r="V288" s="66">
        <f t="shared" si="164"/>
        <v>67.8</v>
      </c>
      <c r="W288" s="38" t="s">
        <v>48</v>
      </c>
      <c r="X288" s="41">
        <v>9500</v>
      </c>
      <c r="Y288" s="43">
        <v>1</v>
      </c>
      <c r="Z288" s="41">
        <f t="shared" si="156"/>
        <v>644100</v>
      </c>
      <c r="AA288" s="41">
        <f t="shared" si="165"/>
        <v>678000</v>
      </c>
      <c r="AB288" s="41">
        <f t="shared" si="157"/>
        <v>12204000</v>
      </c>
      <c r="AC288" s="38"/>
      <c r="AD288" s="44">
        <f t="shared" si="155"/>
        <v>0</v>
      </c>
      <c r="AE288" s="41">
        <f t="shared" si="158"/>
        <v>17594100</v>
      </c>
      <c r="AF288" s="314"/>
      <c r="AG288" s="81">
        <f>Q283*40000</f>
        <v>67296000</v>
      </c>
      <c r="AH288" s="67"/>
      <c r="AI288" s="67"/>
      <c r="AJ288" s="67"/>
    </row>
    <row r="289" spans="1:36" s="68" customFormat="1" ht="64.5" customHeight="1">
      <c r="A289" s="308"/>
      <c r="B289" s="33" t="s">
        <v>382</v>
      </c>
      <c r="C289" s="50">
        <v>124</v>
      </c>
      <c r="D289" s="50">
        <v>5</v>
      </c>
      <c r="E289" s="51">
        <v>132</v>
      </c>
      <c r="F289" s="34" t="s">
        <v>388</v>
      </c>
      <c r="G289" s="34" t="s">
        <v>99</v>
      </c>
      <c r="H289" s="35">
        <v>246.5</v>
      </c>
      <c r="I289" s="34" t="s">
        <v>49</v>
      </c>
      <c r="J289" s="36" t="s">
        <v>50</v>
      </c>
      <c r="K289" s="37">
        <f t="shared" si="150"/>
        <v>132</v>
      </c>
      <c r="L289" s="38">
        <f t="shared" si="163"/>
        <v>114.5</v>
      </c>
      <c r="M289" s="38"/>
      <c r="N289" s="38"/>
      <c r="O289" s="38"/>
      <c r="P289" s="39">
        <f t="shared" si="152"/>
        <v>246.5</v>
      </c>
      <c r="Q289" s="311"/>
      <c r="R289" s="40">
        <v>60000</v>
      </c>
      <c r="S289" s="41">
        <f t="shared" si="159"/>
        <v>14790000</v>
      </c>
      <c r="T289" s="41"/>
      <c r="U289" s="42" t="s">
        <v>389</v>
      </c>
      <c r="V289" s="66">
        <v>54</v>
      </c>
      <c r="W289" s="38" t="s">
        <v>52</v>
      </c>
      <c r="X289" s="41">
        <v>40000</v>
      </c>
      <c r="Y289" s="43">
        <v>0.8</v>
      </c>
      <c r="Z289" s="41">
        <f t="shared" si="156"/>
        <v>1728000</v>
      </c>
      <c r="AA289" s="41">
        <f t="shared" si="165"/>
        <v>2465000</v>
      </c>
      <c r="AB289" s="41">
        <f t="shared" si="157"/>
        <v>44370000</v>
      </c>
      <c r="AC289" s="38"/>
      <c r="AD289" s="44">
        <f t="shared" si="155"/>
        <v>0</v>
      </c>
      <c r="AE289" s="41">
        <f t="shared" si="158"/>
        <v>63353000</v>
      </c>
      <c r="AF289" s="314"/>
      <c r="AG289" s="45"/>
      <c r="AH289" s="67"/>
      <c r="AI289" s="67"/>
      <c r="AJ289" s="67"/>
    </row>
    <row r="290" spans="1:36" s="68" customFormat="1" ht="64.5" customHeight="1">
      <c r="A290" s="308"/>
      <c r="B290" s="33" t="s">
        <v>382</v>
      </c>
      <c r="C290" s="50">
        <v>120</v>
      </c>
      <c r="D290" s="50">
        <v>5</v>
      </c>
      <c r="E290" s="51">
        <v>120</v>
      </c>
      <c r="F290" s="34" t="s">
        <v>390</v>
      </c>
      <c r="G290" s="34" t="s">
        <v>99</v>
      </c>
      <c r="H290" s="35">
        <v>158</v>
      </c>
      <c r="I290" s="34" t="s">
        <v>49</v>
      </c>
      <c r="J290" s="36" t="s">
        <v>50</v>
      </c>
      <c r="K290" s="37">
        <f t="shared" si="150"/>
        <v>120</v>
      </c>
      <c r="L290" s="38">
        <f t="shared" si="163"/>
        <v>38</v>
      </c>
      <c r="M290" s="38"/>
      <c r="N290" s="38"/>
      <c r="O290" s="38"/>
      <c r="P290" s="39">
        <f t="shared" si="152"/>
        <v>158</v>
      </c>
      <c r="Q290" s="311"/>
      <c r="R290" s="40">
        <v>60000</v>
      </c>
      <c r="S290" s="41">
        <f t="shared" si="159"/>
        <v>9480000</v>
      </c>
      <c r="T290" s="41"/>
      <c r="U290" s="42" t="s">
        <v>389</v>
      </c>
      <c r="V290" s="66">
        <v>35</v>
      </c>
      <c r="W290" s="38" t="s">
        <v>52</v>
      </c>
      <c r="X290" s="41">
        <v>40000</v>
      </c>
      <c r="Y290" s="43">
        <v>0.8</v>
      </c>
      <c r="Z290" s="41">
        <f t="shared" si="156"/>
        <v>1120000</v>
      </c>
      <c r="AA290" s="41">
        <f t="shared" si="165"/>
        <v>1580000</v>
      </c>
      <c r="AB290" s="41">
        <f t="shared" si="157"/>
        <v>28440000</v>
      </c>
      <c r="AC290" s="38"/>
      <c r="AD290" s="44">
        <f t="shared" si="155"/>
        <v>0</v>
      </c>
      <c r="AE290" s="41">
        <f t="shared" si="158"/>
        <v>40620000</v>
      </c>
      <c r="AF290" s="314"/>
      <c r="AG290" s="45"/>
      <c r="AH290" s="67"/>
      <c r="AI290" s="67"/>
      <c r="AJ290" s="67"/>
    </row>
    <row r="291" spans="1:36" s="68" customFormat="1" ht="64.5" customHeight="1">
      <c r="A291" s="309"/>
      <c r="B291" s="33" t="s">
        <v>382</v>
      </c>
      <c r="C291" s="50">
        <v>127</v>
      </c>
      <c r="D291" s="50">
        <v>5</v>
      </c>
      <c r="E291" s="51">
        <v>144</v>
      </c>
      <c r="F291" s="34" t="s">
        <v>391</v>
      </c>
      <c r="G291" s="34" t="s">
        <v>99</v>
      </c>
      <c r="H291" s="35">
        <v>243.2</v>
      </c>
      <c r="I291" s="34" t="s">
        <v>49</v>
      </c>
      <c r="J291" s="36" t="s">
        <v>50</v>
      </c>
      <c r="K291" s="37">
        <f t="shared" si="150"/>
        <v>144</v>
      </c>
      <c r="L291" s="38">
        <f t="shared" si="163"/>
        <v>99.199999999999989</v>
      </c>
      <c r="M291" s="38"/>
      <c r="N291" s="38"/>
      <c r="O291" s="38"/>
      <c r="P291" s="39">
        <f t="shared" si="152"/>
        <v>243.2</v>
      </c>
      <c r="Q291" s="312"/>
      <c r="R291" s="40">
        <v>60000</v>
      </c>
      <c r="S291" s="41">
        <f t="shared" si="159"/>
        <v>14592000</v>
      </c>
      <c r="T291" s="41"/>
      <c r="U291" s="42" t="s">
        <v>389</v>
      </c>
      <c r="V291" s="66">
        <v>54</v>
      </c>
      <c r="W291" s="38" t="s">
        <v>52</v>
      </c>
      <c r="X291" s="41">
        <v>40000</v>
      </c>
      <c r="Y291" s="43">
        <v>0.8</v>
      </c>
      <c r="Z291" s="41">
        <f t="shared" si="156"/>
        <v>1728000</v>
      </c>
      <c r="AA291" s="41">
        <f t="shared" si="165"/>
        <v>2432000</v>
      </c>
      <c r="AB291" s="41">
        <f t="shared" si="157"/>
        <v>43776000</v>
      </c>
      <c r="AC291" s="38"/>
      <c r="AD291" s="44">
        <f t="shared" si="155"/>
        <v>0</v>
      </c>
      <c r="AE291" s="41">
        <f t="shared" si="158"/>
        <v>62528000</v>
      </c>
      <c r="AF291" s="315"/>
      <c r="AG291" s="45"/>
      <c r="AH291" s="67"/>
      <c r="AI291" s="67"/>
      <c r="AJ291" s="67"/>
    </row>
    <row r="292" spans="1:36" s="68" customFormat="1" ht="64.5" customHeight="1">
      <c r="A292" s="307">
        <v>78</v>
      </c>
      <c r="B292" s="33" t="s">
        <v>392</v>
      </c>
      <c r="C292" s="72">
        <v>115</v>
      </c>
      <c r="D292" s="72">
        <v>5</v>
      </c>
      <c r="E292" s="73">
        <v>168</v>
      </c>
      <c r="F292" s="34" t="s">
        <v>393</v>
      </c>
      <c r="G292" s="34" t="s">
        <v>159</v>
      </c>
      <c r="H292" s="35">
        <v>83.8</v>
      </c>
      <c r="I292" s="34" t="s">
        <v>49</v>
      </c>
      <c r="J292" s="36" t="s">
        <v>394</v>
      </c>
      <c r="K292" s="37">
        <v>83.8</v>
      </c>
      <c r="L292" s="38"/>
      <c r="M292" s="38"/>
      <c r="N292" s="38"/>
      <c r="O292" s="38"/>
      <c r="P292" s="39">
        <f t="shared" si="152"/>
        <v>83.8</v>
      </c>
      <c r="Q292" s="310">
        <f>SUM(P292:P299)</f>
        <v>1609.1</v>
      </c>
      <c r="R292" s="40">
        <v>60000</v>
      </c>
      <c r="S292" s="41">
        <f t="shared" si="159"/>
        <v>5028000</v>
      </c>
      <c r="T292" s="41"/>
      <c r="U292" s="42" t="s">
        <v>395</v>
      </c>
      <c r="V292" s="66">
        <f>P292</f>
        <v>83.8</v>
      </c>
      <c r="W292" s="38" t="s">
        <v>48</v>
      </c>
      <c r="X292" s="41">
        <v>136000</v>
      </c>
      <c r="Y292" s="43">
        <v>1</v>
      </c>
      <c r="Z292" s="41">
        <f t="shared" si="156"/>
        <v>11396800</v>
      </c>
      <c r="AA292" s="41">
        <f t="shared" si="165"/>
        <v>838000</v>
      </c>
      <c r="AB292" s="41">
        <f t="shared" si="157"/>
        <v>15084000</v>
      </c>
      <c r="AC292" s="38">
        <v>3</v>
      </c>
      <c r="AD292" s="44">
        <f t="shared" si="155"/>
        <v>10500000</v>
      </c>
      <c r="AE292" s="41">
        <f t="shared" si="158"/>
        <v>42846800</v>
      </c>
      <c r="AF292" s="313">
        <f>SUM(AE292:AE299)</f>
        <v>486359700</v>
      </c>
      <c r="AG292" s="45"/>
      <c r="AH292" s="67"/>
      <c r="AI292" s="67"/>
      <c r="AJ292" s="67"/>
    </row>
    <row r="293" spans="1:36" s="68" customFormat="1" ht="64.5" customHeight="1">
      <c r="A293" s="308"/>
      <c r="B293" s="33" t="s">
        <v>392</v>
      </c>
      <c r="C293" s="77"/>
      <c r="D293" s="77"/>
      <c r="E293" s="78"/>
      <c r="F293" s="34">
        <v>137</v>
      </c>
      <c r="G293" s="34">
        <v>28</v>
      </c>
      <c r="H293" s="35">
        <v>576.1</v>
      </c>
      <c r="I293" s="34" t="s">
        <v>49</v>
      </c>
      <c r="J293" s="36" t="s">
        <v>394</v>
      </c>
      <c r="K293" s="37">
        <f>168-83.8</f>
        <v>84.2</v>
      </c>
      <c r="L293" s="38">
        <f>260-84.2</f>
        <v>175.8</v>
      </c>
      <c r="M293" s="38"/>
      <c r="N293" s="38"/>
      <c r="O293" s="38"/>
      <c r="P293" s="39">
        <f t="shared" si="152"/>
        <v>260</v>
      </c>
      <c r="Q293" s="311"/>
      <c r="R293" s="40">
        <v>60000</v>
      </c>
      <c r="S293" s="41">
        <f t="shared" si="159"/>
        <v>15600000</v>
      </c>
      <c r="T293" s="41"/>
      <c r="U293" s="42" t="s">
        <v>395</v>
      </c>
      <c r="V293" s="66">
        <f t="shared" ref="V293:V294" si="168">P293</f>
        <v>260</v>
      </c>
      <c r="W293" s="38" t="s">
        <v>48</v>
      </c>
      <c r="X293" s="41">
        <v>136000</v>
      </c>
      <c r="Y293" s="43">
        <v>1</v>
      </c>
      <c r="Z293" s="41">
        <f t="shared" si="156"/>
        <v>35360000</v>
      </c>
      <c r="AA293" s="41">
        <f t="shared" si="165"/>
        <v>2600000</v>
      </c>
      <c r="AB293" s="41">
        <f t="shared" si="157"/>
        <v>46800000</v>
      </c>
      <c r="AC293" s="38"/>
      <c r="AD293" s="44">
        <f t="shared" si="155"/>
        <v>0</v>
      </c>
      <c r="AE293" s="41">
        <f t="shared" si="158"/>
        <v>100360000</v>
      </c>
      <c r="AF293" s="314"/>
      <c r="AG293" s="45" t="s">
        <v>396</v>
      </c>
      <c r="AH293" s="67"/>
      <c r="AI293" s="67"/>
      <c r="AJ293" s="67"/>
    </row>
    <row r="294" spans="1:36" s="68" customFormat="1" ht="54.75" customHeight="1">
      <c r="A294" s="308"/>
      <c r="B294" s="33" t="s">
        <v>392</v>
      </c>
      <c r="C294" s="50">
        <v>99</v>
      </c>
      <c r="D294" s="50">
        <v>4</v>
      </c>
      <c r="E294" s="51">
        <v>360</v>
      </c>
      <c r="F294" s="34" t="s">
        <v>397</v>
      </c>
      <c r="G294" s="34" t="s">
        <v>99</v>
      </c>
      <c r="H294" s="35">
        <v>449.7</v>
      </c>
      <c r="I294" s="34" t="s">
        <v>45</v>
      </c>
      <c r="J294" s="36" t="s">
        <v>60</v>
      </c>
      <c r="K294" s="37">
        <f t="shared" ref="K294" si="169">E294</f>
        <v>360</v>
      </c>
      <c r="L294" s="38">
        <f>H294-K294</f>
        <v>89.699999999999989</v>
      </c>
      <c r="M294" s="38"/>
      <c r="N294" s="38"/>
      <c r="O294" s="38"/>
      <c r="P294" s="39">
        <f t="shared" si="152"/>
        <v>449.7</v>
      </c>
      <c r="Q294" s="311"/>
      <c r="R294" s="40">
        <v>60000</v>
      </c>
      <c r="S294" s="41">
        <f t="shared" si="159"/>
        <v>26982000</v>
      </c>
      <c r="T294" s="41"/>
      <c r="U294" s="42" t="s">
        <v>64</v>
      </c>
      <c r="V294" s="66">
        <f t="shared" si="168"/>
        <v>449.7</v>
      </c>
      <c r="W294" s="38" t="s">
        <v>48</v>
      </c>
      <c r="X294" s="41">
        <v>9500</v>
      </c>
      <c r="Y294" s="43">
        <v>1</v>
      </c>
      <c r="Z294" s="41">
        <f t="shared" si="156"/>
        <v>4272150</v>
      </c>
      <c r="AA294" s="41">
        <f t="shared" si="165"/>
        <v>4497000</v>
      </c>
      <c r="AB294" s="41">
        <f t="shared" si="157"/>
        <v>80946000</v>
      </c>
      <c r="AC294" s="38"/>
      <c r="AD294" s="44">
        <f t="shared" si="155"/>
        <v>0</v>
      </c>
      <c r="AE294" s="41">
        <f t="shared" si="158"/>
        <v>116697150</v>
      </c>
      <c r="AF294" s="314"/>
      <c r="AG294" s="45"/>
      <c r="AH294" s="67"/>
      <c r="AI294" s="67"/>
      <c r="AJ294" s="67"/>
    </row>
    <row r="295" spans="1:36" s="68" customFormat="1" ht="54.75" customHeight="1">
      <c r="A295" s="308"/>
      <c r="B295" s="33" t="s">
        <v>392</v>
      </c>
      <c r="C295" s="50">
        <v>9</v>
      </c>
      <c r="D295" s="50">
        <v>4</v>
      </c>
      <c r="E295" s="51">
        <v>360</v>
      </c>
      <c r="F295" s="34" t="s">
        <v>398</v>
      </c>
      <c r="G295" s="34" t="s">
        <v>96</v>
      </c>
      <c r="H295" s="35">
        <v>401.3</v>
      </c>
      <c r="I295" s="34" t="s">
        <v>45</v>
      </c>
      <c r="J295" s="36" t="s">
        <v>399</v>
      </c>
      <c r="K295" s="37">
        <f t="shared" si="150"/>
        <v>360</v>
      </c>
      <c r="L295" s="38">
        <f>H295-K295</f>
        <v>41.300000000000011</v>
      </c>
      <c r="M295" s="38"/>
      <c r="N295" s="38"/>
      <c r="O295" s="38"/>
      <c r="P295" s="39">
        <f t="shared" si="152"/>
        <v>401.3</v>
      </c>
      <c r="Q295" s="311"/>
      <c r="R295" s="40">
        <v>60000</v>
      </c>
      <c r="S295" s="41">
        <f t="shared" si="159"/>
        <v>24078000</v>
      </c>
      <c r="T295" s="41"/>
      <c r="U295" s="42" t="s">
        <v>64</v>
      </c>
      <c r="V295" s="66">
        <f t="shared" si="164"/>
        <v>401.3</v>
      </c>
      <c r="W295" s="38" t="s">
        <v>48</v>
      </c>
      <c r="X295" s="41">
        <v>9500</v>
      </c>
      <c r="Y295" s="43">
        <v>1</v>
      </c>
      <c r="Z295" s="41">
        <f t="shared" si="156"/>
        <v>3812350</v>
      </c>
      <c r="AA295" s="41">
        <f t="shared" si="165"/>
        <v>4013000</v>
      </c>
      <c r="AB295" s="41">
        <f t="shared" si="157"/>
        <v>72234000</v>
      </c>
      <c r="AC295" s="38"/>
      <c r="AD295" s="44">
        <f t="shared" si="155"/>
        <v>0</v>
      </c>
      <c r="AE295" s="41">
        <f t="shared" si="158"/>
        <v>104137350</v>
      </c>
      <c r="AF295" s="314"/>
      <c r="AG295" s="45"/>
      <c r="AH295" s="67"/>
      <c r="AI295" s="67"/>
      <c r="AJ295" s="67"/>
    </row>
    <row r="296" spans="1:36" s="68" customFormat="1" ht="60" customHeight="1">
      <c r="A296" s="308"/>
      <c r="B296" s="33" t="s">
        <v>392</v>
      </c>
      <c r="C296" s="50">
        <v>115</v>
      </c>
      <c r="D296" s="50">
        <v>4</v>
      </c>
      <c r="E296" s="51">
        <v>120</v>
      </c>
      <c r="F296" s="34" t="s">
        <v>400</v>
      </c>
      <c r="G296" s="34" t="s">
        <v>99</v>
      </c>
      <c r="H296" s="35">
        <v>132.69999999999999</v>
      </c>
      <c r="I296" s="34" t="s">
        <v>49</v>
      </c>
      <c r="J296" s="36" t="s">
        <v>198</v>
      </c>
      <c r="K296" s="37">
        <f t="shared" si="150"/>
        <v>120</v>
      </c>
      <c r="L296" s="38">
        <f>H296-K296</f>
        <v>12.699999999999989</v>
      </c>
      <c r="M296" s="38"/>
      <c r="N296" s="38"/>
      <c r="O296" s="38"/>
      <c r="P296" s="39">
        <f t="shared" si="152"/>
        <v>132.69999999999999</v>
      </c>
      <c r="Q296" s="311"/>
      <c r="R296" s="40">
        <v>60000</v>
      </c>
      <c r="S296" s="41">
        <f t="shared" si="159"/>
        <v>7961999.9999999991</v>
      </c>
      <c r="T296" s="41"/>
      <c r="U296" s="42" t="s">
        <v>401</v>
      </c>
      <c r="V296" s="66">
        <f t="shared" si="164"/>
        <v>132.69999999999999</v>
      </c>
      <c r="W296" s="38" t="s">
        <v>48</v>
      </c>
      <c r="X296" s="41">
        <v>43000</v>
      </c>
      <c r="Y296" s="43">
        <v>1</v>
      </c>
      <c r="Z296" s="41">
        <f t="shared" si="156"/>
        <v>5706099.9999999991</v>
      </c>
      <c r="AA296" s="41">
        <f t="shared" si="165"/>
        <v>1327000</v>
      </c>
      <c r="AB296" s="41">
        <f t="shared" si="157"/>
        <v>23885999.999999996</v>
      </c>
      <c r="AC296" s="38"/>
      <c r="AD296" s="44">
        <f t="shared" si="155"/>
        <v>0</v>
      </c>
      <c r="AE296" s="41">
        <f t="shared" si="158"/>
        <v>38881099.999999993</v>
      </c>
      <c r="AF296" s="314"/>
      <c r="AG296" s="45"/>
      <c r="AH296" s="67"/>
      <c r="AI296" s="67"/>
      <c r="AJ296" s="67"/>
    </row>
    <row r="297" spans="1:36" s="68" customFormat="1" ht="54.75" customHeight="1">
      <c r="A297" s="308"/>
      <c r="B297" s="33" t="s">
        <v>392</v>
      </c>
      <c r="C297" s="50">
        <v>123</v>
      </c>
      <c r="D297" s="50">
        <v>5</v>
      </c>
      <c r="E297" s="51">
        <v>192</v>
      </c>
      <c r="F297" s="34" t="s">
        <v>402</v>
      </c>
      <c r="G297" s="34" t="s">
        <v>99</v>
      </c>
      <c r="H297" s="35">
        <v>190.5</v>
      </c>
      <c r="I297" s="34" t="s">
        <v>49</v>
      </c>
      <c r="J297" s="36" t="s">
        <v>50</v>
      </c>
      <c r="K297" s="37">
        <v>190.5</v>
      </c>
      <c r="L297" s="38">
        <f>H297-K297</f>
        <v>0</v>
      </c>
      <c r="M297" s="38"/>
      <c r="N297" s="38"/>
      <c r="O297" s="38"/>
      <c r="P297" s="39">
        <f t="shared" si="152"/>
        <v>190.5</v>
      </c>
      <c r="Q297" s="311"/>
      <c r="R297" s="40">
        <v>60000</v>
      </c>
      <c r="S297" s="41">
        <f t="shared" si="159"/>
        <v>11430000</v>
      </c>
      <c r="T297" s="41"/>
      <c r="U297" s="42" t="s">
        <v>90</v>
      </c>
      <c r="V297" s="66">
        <v>38</v>
      </c>
      <c r="W297" s="38" t="s">
        <v>52</v>
      </c>
      <c r="X297" s="41">
        <v>300000</v>
      </c>
      <c r="Y297" s="43">
        <v>0.8</v>
      </c>
      <c r="Z297" s="41">
        <f t="shared" si="156"/>
        <v>9120000</v>
      </c>
      <c r="AA297" s="41">
        <f t="shared" si="165"/>
        <v>1905000</v>
      </c>
      <c r="AB297" s="41">
        <f t="shared" si="157"/>
        <v>34290000</v>
      </c>
      <c r="AC297" s="38"/>
      <c r="AD297" s="44">
        <f t="shared" si="155"/>
        <v>0</v>
      </c>
      <c r="AE297" s="41">
        <f t="shared" si="158"/>
        <v>56745000</v>
      </c>
      <c r="AF297" s="314"/>
      <c r="AG297" s="45"/>
      <c r="AH297" s="67"/>
      <c r="AI297" s="67"/>
      <c r="AJ297" s="67"/>
    </row>
    <row r="298" spans="1:36" s="68" customFormat="1" ht="54.75" customHeight="1">
      <c r="A298" s="308"/>
      <c r="B298" s="33" t="s">
        <v>392</v>
      </c>
      <c r="C298" s="50"/>
      <c r="D298" s="50"/>
      <c r="E298" s="51"/>
      <c r="F298" s="34">
        <v>443</v>
      </c>
      <c r="G298" s="34" t="s">
        <v>99</v>
      </c>
      <c r="H298" s="35">
        <v>91.1</v>
      </c>
      <c r="I298" s="34" t="s">
        <v>49</v>
      </c>
      <c r="J298" s="36" t="s">
        <v>57</v>
      </c>
      <c r="K298" s="37"/>
      <c r="L298" s="38">
        <v>91.1</v>
      </c>
      <c r="M298" s="38"/>
      <c r="N298" s="38"/>
      <c r="O298" s="38"/>
      <c r="P298" s="39">
        <f t="shared" si="152"/>
        <v>91.1</v>
      </c>
      <c r="Q298" s="311"/>
      <c r="R298" s="40">
        <v>60000</v>
      </c>
      <c r="S298" s="41">
        <f t="shared" si="159"/>
        <v>5466000</v>
      </c>
      <c r="T298" s="41"/>
      <c r="U298" s="42" t="s">
        <v>401</v>
      </c>
      <c r="V298" s="66">
        <v>91.1</v>
      </c>
      <c r="W298" s="38" t="s">
        <v>52</v>
      </c>
      <c r="X298" s="41">
        <v>43000</v>
      </c>
      <c r="Y298" s="43">
        <v>1</v>
      </c>
      <c r="Z298" s="41">
        <f t="shared" si="156"/>
        <v>3917299.9999999995</v>
      </c>
      <c r="AA298" s="41">
        <f t="shared" si="165"/>
        <v>911000</v>
      </c>
      <c r="AB298" s="41">
        <f t="shared" si="157"/>
        <v>16398000</v>
      </c>
      <c r="AC298" s="38"/>
      <c r="AD298" s="44">
        <f t="shared" si="155"/>
        <v>0</v>
      </c>
      <c r="AE298" s="41">
        <f t="shared" si="158"/>
        <v>26692300</v>
      </c>
      <c r="AF298" s="314"/>
      <c r="AG298" s="45"/>
      <c r="AH298" s="67"/>
      <c r="AI298" s="67"/>
      <c r="AJ298" s="67"/>
    </row>
    <row r="299" spans="1:36" s="68" customFormat="1" ht="54.75" customHeight="1">
      <c r="A299" s="309"/>
      <c r="B299" s="33" t="s">
        <v>392</v>
      </c>
      <c r="C299" s="50"/>
      <c r="D299" s="50"/>
      <c r="E299" s="51"/>
      <c r="F299" s="34">
        <v>443</v>
      </c>
      <c r="G299" s="34" t="s">
        <v>99</v>
      </c>
      <c r="H299" s="35">
        <v>91.1</v>
      </c>
      <c r="I299" s="34" t="s">
        <v>49</v>
      </c>
      <c r="J299" s="36" t="s">
        <v>57</v>
      </c>
      <c r="K299" s="37"/>
      <c r="L299" s="38"/>
      <c r="M299" s="38"/>
      <c r="N299" s="38"/>
      <c r="O299" s="38"/>
      <c r="P299" s="39">
        <f t="shared" si="152"/>
        <v>0</v>
      </c>
      <c r="Q299" s="312"/>
      <c r="R299" s="40">
        <v>60000</v>
      </c>
      <c r="S299" s="41">
        <f t="shared" si="159"/>
        <v>0</v>
      </c>
      <c r="T299" s="41"/>
      <c r="U299" s="42" t="s">
        <v>403</v>
      </c>
      <c r="V299" s="66"/>
      <c r="W299" s="38"/>
      <c r="X299" s="41"/>
      <c r="Y299" s="43"/>
      <c r="Z299" s="41"/>
      <c r="AA299" s="41">
        <f t="shared" si="165"/>
        <v>0</v>
      </c>
      <c r="AB299" s="41">
        <f t="shared" si="157"/>
        <v>0</v>
      </c>
      <c r="AC299" s="38"/>
      <c r="AD299" s="44">
        <f t="shared" si="155"/>
        <v>0</v>
      </c>
      <c r="AE299" s="41">
        <f t="shared" si="158"/>
        <v>0</v>
      </c>
      <c r="AF299" s="315"/>
      <c r="AG299" s="45" t="s">
        <v>53</v>
      </c>
      <c r="AH299" s="67"/>
      <c r="AI299" s="67"/>
      <c r="AJ299" s="67"/>
    </row>
    <row r="300" spans="1:36" s="47" customFormat="1" ht="72.75" customHeight="1">
      <c r="A300" s="32">
        <v>79</v>
      </c>
      <c r="B300" s="33" t="s">
        <v>404</v>
      </c>
      <c r="C300" s="50">
        <v>96</v>
      </c>
      <c r="D300" s="50">
        <v>4</v>
      </c>
      <c r="E300" s="51">
        <v>131</v>
      </c>
      <c r="F300" s="48">
        <v>71</v>
      </c>
      <c r="G300" s="48">
        <v>28</v>
      </c>
      <c r="H300" s="71">
        <v>348.4</v>
      </c>
      <c r="I300" s="34" t="s">
        <v>55</v>
      </c>
      <c r="J300" s="36" t="s">
        <v>46</v>
      </c>
      <c r="K300" s="37">
        <v>131</v>
      </c>
      <c r="L300" s="38">
        <v>43.2</v>
      </c>
      <c r="M300" s="38"/>
      <c r="N300" s="38"/>
      <c r="O300" s="38"/>
      <c r="P300" s="39">
        <f t="shared" si="152"/>
        <v>174.2</v>
      </c>
      <c r="Q300" s="94">
        <f>P300</f>
        <v>174.2</v>
      </c>
      <c r="R300" s="40">
        <v>60000</v>
      </c>
      <c r="S300" s="41">
        <f t="shared" si="159"/>
        <v>10452000</v>
      </c>
      <c r="T300" s="41"/>
      <c r="U300" s="42" t="s">
        <v>405</v>
      </c>
      <c r="V300" s="66">
        <v>35</v>
      </c>
      <c r="W300" s="38" t="s">
        <v>52</v>
      </c>
      <c r="X300" s="41">
        <v>300000</v>
      </c>
      <c r="Y300" s="43">
        <v>0.8</v>
      </c>
      <c r="Z300" s="41">
        <f t="shared" si="156"/>
        <v>8400000</v>
      </c>
      <c r="AA300" s="41">
        <f t="shared" si="165"/>
        <v>1742000</v>
      </c>
      <c r="AB300" s="41">
        <f t="shared" si="157"/>
        <v>31356000</v>
      </c>
      <c r="AC300" s="38"/>
      <c r="AD300" s="44">
        <f t="shared" si="155"/>
        <v>0</v>
      </c>
      <c r="AE300" s="41">
        <f t="shared" si="158"/>
        <v>51950000</v>
      </c>
      <c r="AF300" s="64">
        <f>AE300</f>
        <v>51950000</v>
      </c>
      <c r="AG300" s="45" t="s">
        <v>406</v>
      </c>
      <c r="AH300" s="46"/>
      <c r="AI300" s="46"/>
      <c r="AJ300" s="46"/>
    </row>
    <row r="301" spans="1:36" s="68" customFormat="1" ht="54" customHeight="1">
      <c r="A301" s="307">
        <v>80</v>
      </c>
      <c r="B301" s="33" t="s">
        <v>407</v>
      </c>
      <c r="C301" s="50">
        <v>78</v>
      </c>
      <c r="D301" s="50">
        <v>4</v>
      </c>
      <c r="E301" s="51">
        <v>72</v>
      </c>
      <c r="F301" s="34">
        <v>61</v>
      </c>
      <c r="G301" s="34">
        <v>28</v>
      </c>
      <c r="H301" s="35">
        <v>87.8</v>
      </c>
      <c r="I301" s="34" t="s">
        <v>55</v>
      </c>
      <c r="J301" s="36" t="s">
        <v>408</v>
      </c>
      <c r="K301" s="37">
        <f t="shared" si="150"/>
        <v>72</v>
      </c>
      <c r="L301" s="38">
        <f t="shared" ref="L301:L307" si="170">H301-K301</f>
        <v>15.799999999999997</v>
      </c>
      <c r="M301" s="38"/>
      <c r="N301" s="38"/>
      <c r="O301" s="38"/>
      <c r="P301" s="39">
        <f t="shared" si="152"/>
        <v>87.8</v>
      </c>
      <c r="Q301" s="310">
        <f>SUM(P301:P308)</f>
        <v>1393.1</v>
      </c>
      <c r="R301" s="40">
        <v>60000</v>
      </c>
      <c r="S301" s="41">
        <f t="shared" si="159"/>
        <v>5268000</v>
      </c>
      <c r="T301" s="41"/>
      <c r="U301" s="42" t="s">
        <v>409</v>
      </c>
      <c r="V301" s="66">
        <v>18</v>
      </c>
      <c r="W301" s="38" t="s">
        <v>52</v>
      </c>
      <c r="X301" s="41">
        <v>163000</v>
      </c>
      <c r="Y301" s="43">
        <v>0.8</v>
      </c>
      <c r="Z301" s="41">
        <f t="shared" si="156"/>
        <v>2347200</v>
      </c>
      <c r="AA301" s="41">
        <f t="shared" si="165"/>
        <v>878000</v>
      </c>
      <c r="AB301" s="41">
        <f t="shared" si="157"/>
        <v>15804000</v>
      </c>
      <c r="AC301" s="38">
        <v>3</v>
      </c>
      <c r="AD301" s="44">
        <f t="shared" si="155"/>
        <v>10500000</v>
      </c>
      <c r="AE301" s="41">
        <f t="shared" si="158"/>
        <v>34797200</v>
      </c>
      <c r="AF301" s="313">
        <f>SUM(AE301:AE308)</f>
        <v>388619490</v>
      </c>
      <c r="AG301" s="45"/>
      <c r="AH301" s="67"/>
      <c r="AI301" s="67"/>
      <c r="AJ301" s="67"/>
    </row>
    <row r="302" spans="1:36" s="68" customFormat="1" ht="54" customHeight="1">
      <c r="A302" s="308"/>
      <c r="B302" s="33" t="s">
        <v>407</v>
      </c>
      <c r="C302" s="50">
        <v>83</v>
      </c>
      <c r="D302" s="50">
        <v>4</v>
      </c>
      <c r="E302" s="51">
        <v>672</v>
      </c>
      <c r="F302" s="34">
        <v>197</v>
      </c>
      <c r="G302" s="34">
        <v>28</v>
      </c>
      <c r="H302" s="35">
        <v>900.7</v>
      </c>
      <c r="I302" s="34" t="s">
        <v>45</v>
      </c>
      <c r="J302" s="36" t="s">
        <v>63</v>
      </c>
      <c r="K302" s="37">
        <v>672</v>
      </c>
      <c r="L302" s="38">
        <f>693.2-672</f>
        <v>21.200000000000045</v>
      </c>
      <c r="M302" s="38"/>
      <c r="N302" s="38"/>
      <c r="O302" s="38"/>
      <c r="P302" s="39">
        <f t="shared" si="152"/>
        <v>693.2</v>
      </c>
      <c r="Q302" s="311"/>
      <c r="R302" s="40">
        <v>60000</v>
      </c>
      <c r="S302" s="41">
        <f t="shared" si="159"/>
        <v>41592000</v>
      </c>
      <c r="T302" s="41"/>
      <c r="U302" s="42" t="s">
        <v>64</v>
      </c>
      <c r="V302" s="66">
        <f t="shared" si="164"/>
        <v>693.2</v>
      </c>
      <c r="W302" s="38" t="s">
        <v>48</v>
      </c>
      <c r="X302" s="41">
        <v>9500</v>
      </c>
      <c r="Y302" s="43">
        <v>1</v>
      </c>
      <c r="Z302" s="41">
        <f t="shared" si="156"/>
        <v>6585400</v>
      </c>
      <c r="AA302" s="41">
        <f t="shared" si="165"/>
        <v>6932000</v>
      </c>
      <c r="AB302" s="41">
        <f t="shared" si="157"/>
        <v>124776000</v>
      </c>
      <c r="AC302" s="38"/>
      <c r="AD302" s="44">
        <f t="shared" si="155"/>
        <v>0</v>
      </c>
      <c r="AE302" s="41">
        <f t="shared" si="158"/>
        <v>179885400</v>
      </c>
      <c r="AF302" s="314"/>
      <c r="AG302" s="45"/>
      <c r="AH302" s="67"/>
      <c r="AI302" s="67"/>
      <c r="AJ302" s="67"/>
    </row>
    <row r="303" spans="1:36" s="68" customFormat="1" ht="54" customHeight="1">
      <c r="A303" s="308"/>
      <c r="B303" s="33" t="s">
        <v>407</v>
      </c>
      <c r="C303" s="50">
        <v>106</v>
      </c>
      <c r="D303" s="50">
        <v>5</v>
      </c>
      <c r="E303" s="51">
        <v>96</v>
      </c>
      <c r="F303" s="34">
        <v>287</v>
      </c>
      <c r="G303" s="34">
        <v>28</v>
      </c>
      <c r="H303" s="35">
        <v>133.4</v>
      </c>
      <c r="I303" s="34" t="s">
        <v>49</v>
      </c>
      <c r="J303" s="36" t="s">
        <v>50</v>
      </c>
      <c r="K303" s="37">
        <f t="shared" si="150"/>
        <v>96</v>
      </c>
      <c r="L303" s="38">
        <f t="shared" si="170"/>
        <v>37.400000000000006</v>
      </c>
      <c r="M303" s="38"/>
      <c r="N303" s="38"/>
      <c r="O303" s="38"/>
      <c r="P303" s="39">
        <f t="shared" si="152"/>
        <v>133.4</v>
      </c>
      <c r="Q303" s="311"/>
      <c r="R303" s="40">
        <v>60000</v>
      </c>
      <c r="S303" s="41">
        <f t="shared" si="159"/>
        <v>8004000</v>
      </c>
      <c r="T303" s="41"/>
      <c r="U303" s="42" t="s">
        <v>85</v>
      </c>
      <c r="V303" s="66">
        <f t="shared" si="164"/>
        <v>133.4</v>
      </c>
      <c r="W303" s="38" t="s">
        <v>48</v>
      </c>
      <c r="X303" s="41">
        <v>43000</v>
      </c>
      <c r="Y303" s="43">
        <v>1</v>
      </c>
      <c r="Z303" s="41">
        <f t="shared" si="156"/>
        <v>5736200</v>
      </c>
      <c r="AA303" s="41">
        <f t="shared" si="165"/>
        <v>1334000</v>
      </c>
      <c r="AB303" s="41">
        <f t="shared" si="157"/>
        <v>24012000</v>
      </c>
      <c r="AC303" s="38"/>
      <c r="AD303" s="44">
        <f t="shared" si="155"/>
        <v>0</v>
      </c>
      <c r="AE303" s="41">
        <f t="shared" si="158"/>
        <v>39086200</v>
      </c>
      <c r="AF303" s="314"/>
      <c r="AG303" s="45"/>
      <c r="AH303" s="67"/>
      <c r="AI303" s="67"/>
      <c r="AJ303" s="67"/>
    </row>
    <row r="304" spans="1:36" s="68" customFormat="1" ht="54" customHeight="1">
      <c r="A304" s="308"/>
      <c r="B304" s="33" t="s">
        <v>407</v>
      </c>
      <c r="C304" s="50">
        <v>122</v>
      </c>
      <c r="D304" s="50">
        <v>4</v>
      </c>
      <c r="E304" s="51">
        <v>24</v>
      </c>
      <c r="F304" s="34">
        <v>352</v>
      </c>
      <c r="G304" s="34">
        <v>28</v>
      </c>
      <c r="H304" s="35">
        <v>37.9</v>
      </c>
      <c r="I304" s="34" t="s">
        <v>49</v>
      </c>
      <c r="J304" s="36" t="s">
        <v>410</v>
      </c>
      <c r="K304" s="37">
        <f t="shared" si="150"/>
        <v>24</v>
      </c>
      <c r="L304" s="38">
        <f t="shared" si="170"/>
        <v>13.899999999999999</v>
      </c>
      <c r="M304" s="38"/>
      <c r="N304" s="38"/>
      <c r="O304" s="38"/>
      <c r="P304" s="39">
        <f t="shared" si="152"/>
        <v>37.9</v>
      </c>
      <c r="Q304" s="311"/>
      <c r="R304" s="40">
        <v>60000</v>
      </c>
      <c r="S304" s="41">
        <f t="shared" si="159"/>
        <v>2274000</v>
      </c>
      <c r="T304" s="41"/>
      <c r="U304" s="42" t="s">
        <v>411</v>
      </c>
      <c r="V304" s="66">
        <v>3</v>
      </c>
      <c r="W304" s="38" t="s">
        <v>52</v>
      </c>
      <c r="X304" s="41">
        <v>300000</v>
      </c>
      <c r="Y304" s="43">
        <v>0.8</v>
      </c>
      <c r="Z304" s="41">
        <f t="shared" si="156"/>
        <v>720000</v>
      </c>
      <c r="AA304" s="41">
        <f t="shared" si="165"/>
        <v>379000</v>
      </c>
      <c r="AB304" s="41">
        <f t="shared" si="157"/>
        <v>6822000</v>
      </c>
      <c r="AC304" s="38"/>
      <c r="AD304" s="44">
        <f t="shared" si="155"/>
        <v>0</v>
      </c>
      <c r="AE304" s="41">
        <f t="shared" si="158"/>
        <v>10195000</v>
      </c>
      <c r="AF304" s="314"/>
      <c r="AG304" s="45"/>
      <c r="AH304" s="67"/>
      <c r="AI304" s="67"/>
      <c r="AJ304" s="67"/>
    </row>
    <row r="305" spans="1:36" s="68" customFormat="1" ht="54" customHeight="1">
      <c r="A305" s="308"/>
      <c r="B305" s="33" t="s">
        <v>407</v>
      </c>
      <c r="C305" s="50"/>
      <c r="D305" s="50"/>
      <c r="E305" s="51"/>
      <c r="F305" s="34">
        <v>352</v>
      </c>
      <c r="G305" s="34">
        <v>28</v>
      </c>
      <c r="H305" s="35">
        <v>37.9</v>
      </c>
      <c r="I305" s="34" t="s">
        <v>49</v>
      </c>
      <c r="J305" s="36" t="s">
        <v>410</v>
      </c>
      <c r="K305" s="37"/>
      <c r="L305" s="38"/>
      <c r="M305" s="38"/>
      <c r="N305" s="38"/>
      <c r="O305" s="38"/>
      <c r="P305" s="39">
        <f t="shared" si="152"/>
        <v>0</v>
      </c>
      <c r="Q305" s="311"/>
      <c r="R305" s="40">
        <v>60000</v>
      </c>
      <c r="S305" s="41">
        <f t="shared" si="159"/>
        <v>0</v>
      </c>
      <c r="T305" s="41"/>
      <c r="U305" s="42" t="s">
        <v>64</v>
      </c>
      <c r="V305" s="66">
        <f>37-15</f>
        <v>22</v>
      </c>
      <c r="W305" s="38" t="s">
        <v>48</v>
      </c>
      <c r="X305" s="41">
        <v>9500</v>
      </c>
      <c r="Y305" s="43">
        <v>1</v>
      </c>
      <c r="Z305" s="41">
        <f t="shared" si="156"/>
        <v>209000</v>
      </c>
      <c r="AA305" s="41">
        <f t="shared" si="165"/>
        <v>0</v>
      </c>
      <c r="AB305" s="41">
        <f t="shared" si="157"/>
        <v>0</v>
      </c>
      <c r="AC305" s="38"/>
      <c r="AD305" s="44">
        <f t="shared" si="155"/>
        <v>0</v>
      </c>
      <c r="AE305" s="41">
        <f t="shared" si="158"/>
        <v>209000</v>
      </c>
      <c r="AF305" s="314"/>
      <c r="AG305" s="45"/>
      <c r="AH305" s="67"/>
      <c r="AI305" s="67"/>
      <c r="AJ305" s="67"/>
    </row>
    <row r="306" spans="1:36" s="68" customFormat="1" ht="54" customHeight="1">
      <c r="A306" s="308"/>
      <c r="B306" s="33" t="s">
        <v>407</v>
      </c>
      <c r="C306" s="50">
        <v>130</v>
      </c>
      <c r="D306" s="50">
        <v>5</v>
      </c>
      <c r="E306" s="51">
        <v>180</v>
      </c>
      <c r="F306" s="34">
        <v>378</v>
      </c>
      <c r="G306" s="34">
        <v>28</v>
      </c>
      <c r="H306" s="35">
        <v>214.5</v>
      </c>
      <c r="I306" s="34" t="s">
        <v>49</v>
      </c>
      <c r="J306" s="36" t="s">
        <v>111</v>
      </c>
      <c r="K306" s="37">
        <f t="shared" si="150"/>
        <v>180</v>
      </c>
      <c r="L306" s="38">
        <f t="shared" si="170"/>
        <v>34.5</v>
      </c>
      <c r="M306" s="38"/>
      <c r="N306" s="38"/>
      <c r="O306" s="38"/>
      <c r="P306" s="39">
        <f t="shared" si="152"/>
        <v>214.5</v>
      </c>
      <c r="Q306" s="311"/>
      <c r="R306" s="40">
        <v>60000</v>
      </c>
      <c r="S306" s="41">
        <f t="shared" si="159"/>
        <v>12870000</v>
      </c>
      <c r="T306" s="41"/>
      <c r="U306" s="42" t="s">
        <v>204</v>
      </c>
      <c r="V306" s="66">
        <v>214.5</v>
      </c>
      <c r="W306" s="38" t="s">
        <v>48</v>
      </c>
      <c r="X306" s="41">
        <v>9500</v>
      </c>
      <c r="Y306" s="43">
        <v>1</v>
      </c>
      <c r="Z306" s="41">
        <f t="shared" si="156"/>
        <v>2037750</v>
      </c>
      <c r="AA306" s="41">
        <f t="shared" si="165"/>
        <v>2145000</v>
      </c>
      <c r="AB306" s="41">
        <f t="shared" si="157"/>
        <v>38610000</v>
      </c>
      <c r="AC306" s="38"/>
      <c r="AD306" s="44">
        <f t="shared" si="155"/>
        <v>0</v>
      </c>
      <c r="AE306" s="41">
        <f t="shared" si="158"/>
        <v>55662750</v>
      </c>
      <c r="AF306" s="314"/>
      <c r="AG306" s="45"/>
      <c r="AH306" s="67"/>
      <c r="AI306" s="67"/>
      <c r="AJ306" s="67"/>
    </row>
    <row r="307" spans="1:36" s="68" customFormat="1" ht="54" customHeight="1">
      <c r="A307" s="308"/>
      <c r="B307" s="33" t="s">
        <v>407</v>
      </c>
      <c r="C307" s="50">
        <v>122</v>
      </c>
      <c r="D307" s="50">
        <v>4</v>
      </c>
      <c r="E307" s="51">
        <v>180</v>
      </c>
      <c r="F307" s="34">
        <v>446</v>
      </c>
      <c r="G307" s="34">
        <v>28</v>
      </c>
      <c r="H307" s="35">
        <v>226.3</v>
      </c>
      <c r="I307" s="34" t="s">
        <v>49</v>
      </c>
      <c r="J307" s="36" t="s">
        <v>111</v>
      </c>
      <c r="K307" s="37">
        <f t="shared" si="150"/>
        <v>180</v>
      </c>
      <c r="L307" s="38">
        <f t="shared" si="170"/>
        <v>46.300000000000011</v>
      </c>
      <c r="M307" s="38"/>
      <c r="N307" s="38"/>
      <c r="O307" s="38"/>
      <c r="P307" s="39">
        <f t="shared" si="152"/>
        <v>226.3</v>
      </c>
      <c r="Q307" s="311"/>
      <c r="R307" s="40">
        <v>60000</v>
      </c>
      <c r="S307" s="41">
        <f t="shared" si="159"/>
        <v>13578000</v>
      </c>
      <c r="T307" s="41"/>
      <c r="U307" s="42" t="s">
        <v>173</v>
      </c>
      <c r="V307" s="66">
        <f t="shared" ref="V307" si="171">P307</f>
        <v>226.3</v>
      </c>
      <c r="W307" s="38" t="s">
        <v>48</v>
      </c>
      <c r="X307" s="41">
        <v>33800</v>
      </c>
      <c r="Y307" s="43">
        <v>1</v>
      </c>
      <c r="Z307" s="41">
        <f t="shared" si="156"/>
        <v>7648940</v>
      </c>
      <c r="AA307" s="41">
        <f t="shared" si="165"/>
        <v>2263000</v>
      </c>
      <c r="AB307" s="41">
        <f t="shared" si="157"/>
        <v>40734000</v>
      </c>
      <c r="AC307" s="38"/>
      <c r="AD307" s="44">
        <f t="shared" si="155"/>
        <v>0</v>
      </c>
      <c r="AE307" s="41">
        <f t="shared" si="158"/>
        <v>64223940</v>
      </c>
      <c r="AF307" s="314"/>
      <c r="AG307" s="45"/>
      <c r="AH307" s="67"/>
      <c r="AI307" s="67"/>
      <c r="AJ307" s="67"/>
    </row>
    <row r="308" spans="1:36" s="68" customFormat="1" ht="54" customHeight="1">
      <c r="A308" s="309"/>
      <c r="B308" s="33" t="s">
        <v>407</v>
      </c>
      <c r="C308" s="50"/>
      <c r="D308" s="50"/>
      <c r="E308" s="51"/>
      <c r="F308" s="34">
        <v>446</v>
      </c>
      <c r="G308" s="34">
        <v>28</v>
      </c>
      <c r="H308" s="35">
        <v>226.3</v>
      </c>
      <c r="I308" s="34" t="s">
        <v>49</v>
      </c>
      <c r="J308" s="36" t="s">
        <v>111</v>
      </c>
      <c r="K308" s="37"/>
      <c r="L308" s="38"/>
      <c r="M308" s="38"/>
      <c r="N308" s="38"/>
      <c r="O308" s="38"/>
      <c r="P308" s="39">
        <f t="shared" si="152"/>
        <v>0</v>
      </c>
      <c r="Q308" s="312"/>
      <c r="R308" s="40">
        <v>60000</v>
      </c>
      <c r="S308" s="41">
        <f t="shared" si="159"/>
        <v>0</v>
      </c>
      <c r="T308" s="41"/>
      <c r="U308" s="42" t="s">
        <v>411</v>
      </c>
      <c r="V308" s="66">
        <v>19</v>
      </c>
      <c r="W308" s="38" t="s">
        <v>52</v>
      </c>
      <c r="X308" s="41">
        <v>300000</v>
      </c>
      <c r="Y308" s="43">
        <v>0.8</v>
      </c>
      <c r="Z308" s="41">
        <f t="shared" si="156"/>
        <v>4560000</v>
      </c>
      <c r="AA308" s="41">
        <f t="shared" si="165"/>
        <v>0</v>
      </c>
      <c r="AB308" s="41">
        <f t="shared" si="157"/>
        <v>0</v>
      </c>
      <c r="AC308" s="38"/>
      <c r="AD308" s="44">
        <f t="shared" si="155"/>
        <v>0</v>
      </c>
      <c r="AE308" s="41">
        <f t="shared" si="158"/>
        <v>4560000</v>
      </c>
      <c r="AF308" s="315"/>
      <c r="AG308" s="45"/>
      <c r="AH308" s="67"/>
      <c r="AI308" s="67"/>
      <c r="AJ308" s="67"/>
    </row>
    <row r="309" spans="1:36" s="47" customFormat="1" ht="54" customHeight="1">
      <c r="A309" s="307">
        <v>81</v>
      </c>
      <c r="B309" s="33" t="s">
        <v>412</v>
      </c>
      <c r="C309" s="322">
        <v>109</v>
      </c>
      <c r="D309" s="322">
        <v>5</v>
      </c>
      <c r="E309" s="325">
        <v>360</v>
      </c>
      <c r="F309" s="34">
        <v>212</v>
      </c>
      <c r="G309" s="34">
        <v>28</v>
      </c>
      <c r="H309" s="35">
        <v>137.30000000000001</v>
      </c>
      <c r="I309" s="34" t="s">
        <v>49</v>
      </c>
      <c r="J309" s="36" t="s">
        <v>50</v>
      </c>
      <c r="K309" s="37">
        <v>137.30000000000001</v>
      </c>
      <c r="L309" s="38">
        <f>H309-K309</f>
        <v>0</v>
      </c>
      <c r="M309" s="38"/>
      <c r="N309" s="38"/>
      <c r="O309" s="38"/>
      <c r="P309" s="39">
        <f t="shared" si="152"/>
        <v>137.30000000000001</v>
      </c>
      <c r="Q309" s="310">
        <f>SUM(P309:P314)</f>
        <v>706.5</v>
      </c>
      <c r="R309" s="40">
        <v>60000</v>
      </c>
      <c r="S309" s="41">
        <f t="shared" si="159"/>
        <v>8238000.0000000009</v>
      </c>
      <c r="T309" s="41"/>
      <c r="U309" s="42" t="s">
        <v>413</v>
      </c>
      <c r="V309" s="60">
        <v>28</v>
      </c>
      <c r="W309" s="38" t="s">
        <v>52</v>
      </c>
      <c r="X309" s="41">
        <v>300000</v>
      </c>
      <c r="Y309" s="43">
        <v>0.8</v>
      </c>
      <c r="Z309" s="41">
        <f t="shared" si="156"/>
        <v>6720000</v>
      </c>
      <c r="AA309" s="41">
        <f t="shared" si="165"/>
        <v>1373000</v>
      </c>
      <c r="AB309" s="41">
        <f t="shared" si="157"/>
        <v>24714000.000000004</v>
      </c>
      <c r="AC309" s="38">
        <v>1</v>
      </c>
      <c r="AD309" s="44">
        <f t="shared" si="155"/>
        <v>3500000</v>
      </c>
      <c r="AE309" s="41">
        <f t="shared" si="158"/>
        <v>44545000</v>
      </c>
      <c r="AF309" s="313">
        <f>SUM(AE309:AE314)</f>
        <v>201675400</v>
      </c>
      <c r="AG309" s="45"/>
      <c r="AH309" s="46"/>
      <c r="AI309" s="46"/>
      <c r="AJ309" s="46"/>
    </row>
    <row r="310" spans="1:36" s="47" customFormat="1" ht="63.75" customHeight="1">
      <c r="A310" s="308"/>
      <c r="B310" s="33" t="s">
        <v>412</v>
      </c>
      <c r="C310" s="323"/>
      <c r="D310" s="323"/>
      <c r="E310" s="326"/>
      <c r="F310" s="95">
        <v>286</v>
      </c>
      <c r="G310" s="95">
        <v>28</v>
      </c>
      <c r="H310" s="96">
        <v>521.70000000000005</v>
      </c>
      <c r="I310" s="34" t="s">
        <v>49</v>
      </c>
      <c r="J310" s="36" t="s">
        <v>50</v>
      </c>
      <c r="K310" s="37">
        <f>360-137.3</f>
        <v>222.7</v>
      </c>
      <c r="L310" s="38">
        <f>23.3</f>
        <v>23.3</v>
      </c>
      <c r="M310" s="38"/>
      <c r="N310" s="38"/>
      <c r="O310" s="38"/>
      <c r="P310" s="39">
        <f t="shared" si="152"/>
        <v>246</v>
      </c>
      <c r="Q310" s="311"/>
      <c r="R310" s="40">
        <v>60000</v>
      </c>
      <c r="S310" s="41">
        <f t="shared" si="159"/>
        <v>14760000</v>
      </c>
      <c r="T310" s="41"/>
      <c r="U310" s="42" t="s">
        <v>414</v>
      </c>
      <c r="V310" s="60">
        <v>49</v>
      </c>
      <c r="W310" s="38" t="s">
        <v>52</v>
      </c>
      <c r="X310" s="41">
        <v>300000</v>
      </c>
      <c r="Y310" s="43">
        <v>0.8</v>
      </c>
      <c r="Z310" s="41">
        <f t="shared" si="156"/>
        <v>11760000</v>
      </c>
      <c r="AA310" s="41">
        <f t="shared" si="165"/>
        <v>2460000</v>
      </c>
      <c r="AB310" s="41">
        <f t="shared" si="157"/>
        <v>44280000</v>
      </c>
      <c r="AC310" s="38"/>
      <c r="AD310" s="44">
        <f t="shared" si="155"/>
        <v>0</v>
      </c>
      <c r="AE310" s="41">
        <f t="shared" si="158"/>
        <v>73260000</v>
      </c>
      <c r="AF310" s="314"/>
      <c r="AG310" s="45" t="s">
        <v>415</v>
      </c>
      <c r="AH310" s="46"/>
      <c r="AI310" s="46"/>
      <c r="AJ310" s="46"/>
    </row>
    <row r="311" spans="1:36" s="47" customFormat="1" ht="63.75" customHeight="1">
      <c r="A311" s="308"/>
      <c r="B311" s="33" t="s">
        <v>412</v>
      </c>
      <c r="C311" s="324"/>
      <c r="D311" s="324"/>
      <c r="E311" s="327"/>
      <c r="F311" s="95">
        <v>286</v>
      </c>
      <c r="G311" s="95">
        <v>28</v>
      </c>
      <c r="H311" s="96">
        <v>521.70000000000005</v>
      </c>
      <c r="I311" s="34" t="s">
        <v>49</v>
      </c>
      <c r="J311" s="36" t="s">
        <v>50</v>
      </c>
      <c r="K311" s="37"/>
      <c r="L311" s="38"/>
      <c r="M311" s="38"/>
      <c r="N311" s="38"/>
      <c r="O311" s="38"/>
      <c r="P311" s="39">
        <f t="shared" si="152"/>
        <v>0</v>
      </c>
      <c r="Q311" s="311"/>
      <c r="R311" s="40"/>
      <c r="S311" s="41">
        <f t="shared" ref="S311:S338" si="172">P311*R311</f>
        <v>0</v>
      </c>
      <c r="T311" s="41"/>
      <c r="U311" s="42" t="s">
        <v>416</v>
      </c>
      <c r="V311" s="60">
        <v>20</v>
      </c>
      <c r="W311" s="38" t="s">
        <v>52</v>
      </c>
      <c r="X311" s="41"/>
      <c r="Y311" s="43"/>
      <c r="Z311" s="41"/>
      <c r="AA311" s="41">
        <f t="shared" ref="AA311:AA330" si="173">P311*10000</f>
        <v>0</v>
      </c>
      <c r="AB311" s="41">
        <f t="shared" si="157"/>
        <v>0</v>
      </c>
      <c r="AC311" s="38"/>
      <c r="AD311" s="44">
        <f t="shared" si="155"/>
        <v>0</v>
      </c>
      <c r="AE311" s="41">
        <f t="shared" si="158"/>
        <v>0</v>
      </c>
      <c r="AF311" s="314"/>
      <c r="AG311" s="45" t="s">
        <v>53</v>
      </c>
      <c r="AH311" s="46"/>
      <c r="AI311" s="46"/>
      <c r="AJ311" s="46"/>
    </row>
    <row r="312" spans="1:36" s="47" customFormat="1" ht="63.75" customHeight="1">
      <c r="A312" s="308"/>
      <c r="B312" s="33" t="s">
        <v>412</v>
      </c>
      <c r="C312" s="50">
        <v>147</v>
      </c>
      <c r="D312" s="50">
        <v>4</v>
      </c>
      <c r="E312" s="51">
        <v>84</v>
      </c>
      <c r="F312" s="34">
        <v>358</v>
      </c>
      <c r="G312" s="34">
        <v>28</v>
      </c>
      <c r="H312" s="35">
        <v>154.69999999999999</v>
      </c>
      <c r="I312" s="34" t="s">
        <v>49</v>
      </c>
      <c r="J312" s="36" t="s">
        <v>74</v>
      </c>
      <c r="K312" s="37">
        <f t="shared" ref="K312:K383" si="174">E312</f>
        <v>84</v>
      </c>
      <c r="L312" s="38">
        <f t="shared" ref="L312:L313" si="175">H312-K312</f>
        <v>70.699999999999989</v>
      </c>
      <c r="M312" s="38"/>
      <c r="N312" s="38"/>
      <c r="O312" s="38"/>
      <c r="P312" s="39">
        <f t="shared" si="152"/>
        <v>154.69999999999999</v>
      </c>
      <c r="Q312" s="311"/>
      <c r="R312" s="40">
        <v>60000</v>
      </c>
      <c r="S312" s="41">
        <f t="shared" si="172"/>
        <v>9282000</v>
      </c>
      <c r="T312" s="41"/>
      <c r="U312" s="42" t="s">
        <v>47</v>
      </c>
      <c r="V312" s="66">
        <f t="shared" ref="V312:V314" si="176">P312</f>
        <v>154.69999999999999</v>
      </c>
      <c r="W312" s="38" t="s">
        <v>48</v>
      </c>
      <c r="X312" s="41">
        <v>9500</v>
      </c>
      <c r="Y312" s="43">
        <v>1</v>
      </c>
      <c r="Z312" s="41">
        <f t="shared" si="156"/>
        <v>1469650</v>
      </c>
      <c r="AA312" s="41">
        <f t="shared" si="173"/>
        <v>1547000</v>
      </c>
      <c r="AB312" s="41">
        <f t="shared" si="157"/>
        <v>27846000</v>
      </c>
      <c r="AC312" s="38"/>
      <c r="AD312" s="44">
        <f t="shared" si="155"/>
        <v>0</v>
      </c>
      <c r="AE312" s="41">
        <f t="shared" si="158"/>
        <v>40144650</v>
      </c>
      <c r="AF312" s="314"/>
      <c r="AG312" s="45"/>
      <c r="AH312" s="46"/>
      <c r="AI312" s="46"/>
      <c r="AJ312" s="46"/>
    </row>
    <row r="313" spans="1:36" s="47" customFormat="1" ht="63.75" customHeight="1">
      <c r="A313" s="308"/>
      <c r="B313" s="33" t="s">
        <v>412</v>
      </c>
      <c r="C313" s="50">
        <v>164</v>
      </c>
      <c r="D313" s="50">
        <v>4</v>
      </c>
      <c r="E313" s="51">
        <v>168</v>
      </c>
      <c r="F313" s="34">
        <v>359</v>
      </c>
      <c r="G313" s="34">
        <v>28</v>
      </c>
      <c r="H313" s="35">
        <v>168.5</v>
      </c>
      <c r="I313" s="34" t="s">
        <v>49</v>
      </c>
      <c r="J313" s="36" t="s">
        <v>417</v>
      </c>
      <c r="K313" s="37">
        <f t="shared" si="174"/>
        <v>168</v>
      </c>
      <c r="L313" s="38">
        <f t="shared" si="175"/>
        <v>0.5</v>
      </c>
      <c r="M313" s="38"/>
      <c r="N313" s="38"/>
      <c r="O313" s="38"/>
      <c r="P313" s="39">
        <f t="shared" si="152"/>
        <v>168.5</v>
      </c>
      <c r="Q313" s="311"/>
      <c r="R313" s="40">
        <v>60000</v>
      </c>
      <c r="S313" s="41">
        <f t="shared" si="172"/>
        <v>10110000</v>
      </c>
      <c r="T313" s="41"/>
      <c r="U313" s="42" t="s">
        <v>64</v>
      </c>
      <c r="V313" s="66">
        <f t="shared" si="176"/>
        <v>168.5</v>
      </c>
      <c r="W313" s="38" t="s">
        <v>48</v>
      </c>
      <c r="X313" s="41">
        <v>9500</v>
      </c>
      <c r="Y313" s="43">
        <v>1</v>
      </c>
      <c r="Z313" s="41">
        <f t="shared" si="156"/>
        <v>1600750</v>
      </c>
      <c r="AA313" s="41">
        <f t="shared" si="173"/>
        <v>1685000</v>
      </c>
      <c r="AB313" s="41">
        <f t="shared" si="157"/>
        <v>30330000</v>
      </c>
      <c r="AC313" s="38"/>
      <c r="AD313" s="44">
        <f t="shared" si="155"/>
        <v>0</v>
      </c>
      <c r="AE313" s="41">
        <f t="shared" si="158"/>
        <v>43725750</v>
      </c>
      <c r="AF313" s="314"/>
      <c r="AG313" s="45"/>
      <c r="AH313" s="46"/>
      <c r="AI313" s="46"/>
      <c r="AJ313" s="46"/>
    </row>
    <row r="314" spans="1:36" s="47" customFormat="1" ht="63.75" customHeight="1">
      <c r="A314" s="309"/>
      <c r="B314" s="33" t="s">
        <v>412</v>
      </c>
      <c r="C314" s="50"/>
      <c r="D314" s="50"/>
      <c r="E314" s="51"/>
      <c r="F314" s="34">
        <v>359</v>
      </c>
      <c r="G314" s="34">
        <v>28</v>
      </c>
      <c r="H314" s="35">
        <v>168.5</v>
      </c>
      <c r="I314" s="34" t="s">
        <v>49</v>
      </c>
      <c r="J314" s="36" t="s">
        <v>417</v>
      </c>
      <c r="K314" s="37"/>
      <c r="L314" s="38"/>
      <c r="M314" s="38"/>
      <c r="N314" s="38"/>
      <c r="O314" s="38"/>
      <c r="P314" s="39">
        <f t="shared" si="152"/>
        <v>0</v>
      </c>
      <c r="Q314" s="312"/>
      <c r="R314" s="40"/>
      <c r="S314" s="41">
        <f t="shared" si="172"/>
        <v>0</v>
      </c>
      <c r="T314" s="41"/>
      <c r="U314" s="42" t="s">
        <v>173</v>
      </c>
      <c r="V314" s="66">
        <f t="shared" si="176"/>
        <v>0</v>
      </c>
      <c r="W314" s="38"/>
      <c r="X314" s="41"/>
      <c r="Y314" s="43">
        <v>0</v>
      </c>
      <c r="Z314" s="41">
        <f t="shared" si="156"/>
        <v>0</v>
      </c>
      <c r="AA314" s="41">
        <f t="shared" si="173"/>
        <v>0</v>
      </c>
      <c r="AB314" s="41">
        <f t="shared" si="157"/>
        <v>0</v>
      </c>
      <c r="AC314" s="38"/>
      <c r="AD314" s="44">
        <f t="shared" si="155"/>
        <v>0</v>
      </c>
      <c r="AE314" s="41">
        <f t="shared" si="158"/>
        <v>0</v>
      </c>
      <c r="AF314" s="315"/>
      <c r="AG314" s="45" t="s">
        <v>418</v>
      </c>
      <c r="AH314" s="46"/>
      <c r="AI314" s="46"/>
      <c r="AJ314" s="46"/>
    </row>
    <row r="315" spans="1:36" s="68" customFormat="1" ht="54" customHeight="1">
      <c r="A315" s="307">
        <v>82</v>
      </c>
      <c r="B315" s="33" t="s">
        <v>419</v>
      </c>
      <c r="C315" s="50">
        <v>42</v>
      </c>
      <c r="D315" s="50">
        <v>4</v>
      </c>
      <c r="E315" s="51">
        <v>72</v>
      </c>
      <c r="F315" s="34">
        <v>173</v>
      </c>
      <c r="G315" s="34">
        <v>21</v>
      </c>
      <c r="H315" s="35">
        <v>82.5</v>
      </c>
      <c r="I315" s="97" t="s">
        <v>45</v>
      </c>
      <c r="J315" s="36" t="s">
        <v>260</v>
      </c>
      <c r="K315" s="37">
        <v>15.3</v>
      </c>
      <c r="L315" s="38"/>
      <c r="M315" s="38"/>
      <c r="N315" s="38"/>
      <c r="O315" s="38">
        <f>82.5-15.3</f>
        <v>67.2</v>
      </c>
      <c r="P315" s="39">
        <f t="shared" si="152"/>
        <v>82.5</v>
      </c>
      <c r="Q315" s="310">
        <f>SUM(P315:P324)</f>
        <v>1242.5</v>
      </c>
      <c r="R315" s="40">
        <v>60000</v>
      </c>
      <c r="S315" s="41">
        <f t="shared" si="172"/>
        <v>4950000</v>
      </c>
      <c r="T315" s="41"/>
      <c r="U315" s="42" t="s">
        <v>64</v>
      </c>
      <c r="V315" s="66">
        <v>15.3</v>
      </c>
      <c r="W315" s="38" t="s">
        <v>48</v>
      </c>
      <c r="X315" s="41">
        <v>9500</v>
      </c>
      <c r="Y315" s="43">
        <v>1</v>
      </c>
      <c r="Z315" s="41">
        <f t="shared" si="156"/>
        <v>145350</v>
      </c>
      <c r="AA315" s="41">
        <f t="shared" si="173"/>
        <v>825000</v>
      </c>
      <c r="AB315" s="41">
        <f t="shared" si="157"/>
        <v>14850000</v>
      </c>
      <c r="AC315" s="38">
        <v>2</v>
      </c>
      <c r="AD315" s="44">
        <f t="shared" si="155"/>
        <v>7000000</v>
      </c>
      <c r="AE315" s="41">
        <f t="shared" si="158"/>
        <v>27770350</v>
      </c>
      <c r="AF315" s="313">
        <f>SUM(AE315:AE324)</f>
        <v>330602950</v>
      </c>
      <c r="AG315" s="45"/>
      <c r="AH315" s="67"/>
      <c r="AI315" s="67"/>
      <c r="AJ315" s="67"/>
    </row>
    <row r="316" spans="1:36" s="68" customFormat="1" ht="54" customHeight="1">
      <c r="A316" s="308"/>
      <c r="B316" s="33" t="s">
        <v>419</v>
      </c>
      <c r="C316" s="50">
        <v>7</v>
      </c>
      <c r="D316" s="50">
        <v>4</v>
      </c>
      <c r="E316" s="51">
        <v>216</v>
      </c>
      <c r="F316" s="34">
        <v>249</v>
      </c>
      <c r="G316" s="34">
        <v>21</v>
      </c>
      <c r="H316" s="35">
        <v>246.3</v>
      </c>
      <c r="I316" s="97" t="s">
        <v>45</v>
      </c>
      <c r="J316" s="36" t="s">
        <v>54</v>
      </c>
      <c r="K316" s="37">
        <f t="shared" ref="K316:K317" si="177">E316</f>
        <v>216</v>
      </c>
      <c r="L316" s="38">
        <f t="shared" ref="L316:L360" si="178">H316-K316</f>
        <v>30.300000000000011</v>
      </c>
      <c r="M316" s="38"/>
      <c r="N316" s="38"/>
      <c r="O316" s="38"/>
      <c r="P316" s="39">
        <f t="shared" si="152"/>
        <v>246.3</v>
      </c>
      <c r="Q316" s="311"/>
      <c r="R316" s="40">
        <v>60000</v>
      </c>
      <c r="S316" s="41">
        <f t="shared" si="172"/>
        <v>14778000</v>
      </c>
      <c r="T316" s="41"/>
      <c r="U316" s="42" t="s">
        <v>64</v>
      </c>
      <c r="V316" s="66">
        <v>246.3</v>
      </c>
      <c r="W316" s="38" t="s">
        <v>48</v>
      </c>
      <c r="X316" s="41">
        <v>9500</v>
      </c>
      <c r="Y316" s="43">
        <v>1</v>
      </c>
      <c r="Z316" s="41">
        <f t="shared" si="156"/>
        <v>2339850</v>
      </c>
      <c r="AA316" s="41">
        <f t="shared" si="173"/>
        <v>2463000</v>
      </c>
      <c r="AB316" s="41">
        <f t="shared" si="157"/>
        <v>44334000</v>
      </c>
      <c r="AC316" s="38"/>
      <c r="AD316" s="44">
        <f t="shared" si="155"/>
        <v>0</v>
      </c>
      <c r="AE316" s="41">
        <f t="shared" si="158"/>
        <v>63914850</v>
      </c>
      <c r="AF316" s="314"/>
      <c r="AG316" s="45"/>
      <c r="AH316" s="67"/>
      <c r="AI316" s="67"/>
      <c r="AJ316" s="67"/>
    </row>
    <row r="317" spans="1:36" s="68" customFormat="1" ht="54" customHeight="1">
      <c r="A317" s="308"/>
      <c r="B317" s="33" t="s">
        <v>419</v>
      </c>
      <c r="C317" s="50">
        <v>110</v>
      </c>
      <c r="D317" s="50">
        <v>5</v>
      </c>
      <c r="E317" s="51">
        <v>120</v>
      </c>
      <c r="F317" s="34">
        <v>86</v>
      </c>
      <c r="G317" s="34">
        <v>28</v>
      </c>
      <c r="H317" s="35">
        <v>147.6</v>
      </c>
      <c r="I317" s="97" t="s">
        <v>49</v>
      </c>
      <c r="J317" s="36" t="s">
        <v>242</v>
      </c>
      <c r="K317" s="37">
        <f t="shared" si="177"/>
        <v>120</v>
      </c>
      <c r="L317" s="38">
        <f t="shared" si="178"/>
        <v>27.599999999999994</v>
      </c>
      <c r="M317" s="38"/>
      <c r="N317" s="38"/>
      <c r="O317" s="38"/>
      <c r="P317" s="39">
        <f t="shared" si="152"/>
        <v>147.6</v>
      </c>
      <c r="Q317" s="311"/>
      <c r="R317" s="40">
        <v>60000</v>
      </c>
      <c r="S317" s="41">
        <f t="shared" si="172"/>
        <v>8856000</v>
      </c>
      <c r="T317" s="41"/>
      <c r="U317" s="42" t="s">
        <v>64</v>
      </c>
      <c r="V317" s="66">
        <v>147.6</v>
      </c>
      <c r="W317" s="38" t="s">
        <v>48</v>
      </c>
      <c r="X317" s="41">
        <v>9500</v>
      </c>
      <c r="Y317" s="43">
        <v>1</v>
      </c>
      <c r="Z317" s="41">
        <f t="shared" si="156"/>
        <v>1402200</v>
      </c>
      <c r="AA317" s="41">
        <f t="shared" si="173"/>
        <v>1476000</v>
      </c>
      <c r="AB317" s="41">
        <f t="shared" si="157"/>
        <v>26568000</v>
      </c>
      <c r="AC317" s="38"/>
      <c r="AD317" s="44">
        <f t="shared" si="155"/>
        <v>0</v>
      </c>
      <c r="AE317" s="41">
        <f t="shared" si="158"/>
        <v>38302200</v>
      </c>
      <c r="AF317" s="314"/>
      <c r="AG317" s="45"/>
      <c r="AH317" s="67"/>
      <c r="AI317" s="67"/>
      <c r="AJ317" s="67"/>
    </row>
    <row r="318" spans="1:36" s="68" customFormat="1" ht="54" customHeight="1">
      <c r="A318" s="308"/>
      <c r="B318" s="33" t="s">
        <v>419</v>
      </c>
      <c r="C318" s="322">
        <v>105</v>
      </c>
      <c r="D318" s="322">
        <v>4</v>
      </c>
      <c r="E318" s="325">
        <v>216</v>
      </c>
      <c r="F318" s="34">
        <v>148</v>
      </c>
      <c r="G318" s="34">
        <v>28</v>
      </c>
      <c r="H318" s="35">
        <v>198.1</v>
      </c>
      <c r="I318" s="97" t="s">
        <v>45</v>
      </c>
      <c r="J318" s="36" t="s">
        <v>63</v>
      </c>
      <c r="K318" s="37">
        <v>198.1</v>
      </c>
      <c r="L318" s="38">
        <f t="shared" si="178"/>
        <v>0</v>
      </c>
      <c r="M318" s="38"/>
      <c r="N318" s="38"/>
      <c r="O318" s="38"/>
      <c r="P318" s="39">
        <f t="shared" si="152"/>
        <v>198.1</v>
      </c>
      <c r="Q318" s="311"/>
      <c r="R318" s="40">
        <v>60000</v>
      </c>
      <c r="S318" s="41">
        <f t="shared" si="172"/>
        <v>11886000</v>
      </c>
      <c r="T318" s="41"/>
      <c r="U318" s="42" t="s">
        <v>64</v>
      </c>
      <c r="V318" s="66">
        <v>198.1</v>
      </c>
      <c r="W318" s="38" t="s">
        <v>48</v>
      </c>
      <c r="X318" s="41">
        <v>9500</v>
      </c>
      <c r="Y318" s="43">
        <v>1</v>
      </c>
      <c r="Z318" s="41">
        <f t="shared" si="156"/>
        <v>1881950</v>
      </c>
      <c r="AA318" s="41">
        <f t="shared" si="173"/>
        <v>1981000</v>
      </c>
      <c r="AB318" s="41">
        <f t="shared" si="157"/>
        <v>35658000</v>
      </c>
      <c r="AC318" s="38"/>
      <c r="AD318" s="44">
        <f t="shared" si="155"/>
        <v>0</v>
      </c>
      <c r="AE318" s="41">
        <f t="shared" si="158"/>
        <v>51406950</v>
      </c>
      <c r="AF318" s="314"/>
      <c r="AG318" s="45"/>
      <c r="AH318" s="67"/>
      <c r="AI318" s="67"/>
      <c r="AJ318" s="67"/>
    </row>
    <row r="319" spans="1:36" s="68" customFormat="1" ht="54" customHeight="1">
      <c r="A319" s="308"/>
      <c r="B319" s="33" t="s">
        <v>419</v>
      </c>
      <c r="C319" s="323"/>
      <c r="D319" s="323"/>
      <c r="E319" s="326"/>
      <c r="F319" s="34">
        <v>145</v>
      </c>
      <c r="G319" s="34">
        <v>28</v>
      </c>
      <c r="H319" s="35">
        <v>555.79999999999995</v>
      </c>
      <c r="I319" s="97" t="s">
        <v>45</v>
      </c>
      <c r="J319" s="36" t="s">
        <v>63</v>
      </c>
      <c r="K319" s="37">
        <v>2.2999999999999998</v>
      </c>
      <c r="L319" s="38"/>
      <c r="M319" s="38"/>
      <c r="N319" s="38"/>
      <c r="O319" s="38"/>
      <c r="P319" s="39">
        <f t="shared" si="152"/>
        <v>2.2999999999999998</v>
      </c>
      <c r="Q319" s="311"/>
      <c r="R319" s="40">
        <v>60000</v>
      </c>
      <c r="S319" s="41">
        <f t="shared" si="172"/>
        <v>138000</v>
      </c>
      <c r="T319" s="41"/>
      <c r="U319" s="42" t="s">
        <v>64</v>
      </c>
      <c r="V319" s="66">
        <v>198.1</v>
      </c>
      <c r="W319" s="38" t="s">
        <v>48</v>
      </c>
      <c r="X319" s="41">
        <v>9500</v>
      </c>
      <c r="Y319" s="43">
        <v>1</v>
      </c>
      <c r="Z319" s="41">
        <f t="shared" si="156"/>
        <v>1881950</v>
      </c>
      <c r="AA319" s="41">
        <f t="shared" si="173"/>
        <v>23000</v>
      </c>
      <c r="AB319" s="41">
        <f t="shared" si="157"/>
        <v>414000</v>
      </c>
      <c r="AC319" s="38"/>
      <c r="AD319" s="44">
        <f t="shared" si="155"/>
        <v>0</v>
      </c>
      <c r="AE319" s="41">
        <f t="shared" si="158"/>
        <v>2456950</v>
      </c>
      <c r="AF319" s="314"/>
      <c r="AG319" s="45"/>
      <c r="AH319" s="67"/>
      <c r="AI319" s="67"/>
      <c r="AJ319" s="67"/>
    </row>
    <row r="320" spans="1:36" s="68" customFormat="1" ht="54" customHeight="1">
      <c r="A320" s="308"/>
      <c r="B320" s="33" t="s">
        <v>419</v>
      </c>
      <c r="C320" s="324"/>
      <c r="D320" s="324"/>
      <c r="E320" s="327"/>
      <c r="F320" s="34">
        <v>221</v>
      </c>
      <c r="G320" s="34">
        <v>28</v>
      </c>
      <c r="H320" s="35">
        <v>259.7</v>
      </c>
      <c r="I320" s="97" t="s">
        <v>45</v>
      </c>
      <c r="J320" s="36" t="s">
        <v>63</v>
      </c>
      <c r="K320" s="37">
        <v>15.6</v>
      </c>
      <c r="L320" s="38"/>
      <c r="M320" s="38"/>
      <c r="N320" s="38"/>
      <c r="O320" s="38"/>
      <c r="P320" s="39">
        <f t="shared" si="152"/>
        <v>15.6</v>
      </c>
      <c r="Q320" s="311"/>
      <c r="R320" s="40">
        <v>60000</v>
      </c>
      <c r="S320" s="41">
        <f t="shared" si="172"/>
        <v>936000</v>
      </c>
      <c r="T320" s="41"/>
      <c r="U320" s="42" t="s">
        <v>64</v>
      </c>
      <c r="V320" s="66">
        <v>198.1</v>
      </c>
      <c r="W320" s="38" t="s">
        <v>48</v>
      </c>
      <c r="X320" s="41">
        <v>9500</v>
      </c>
      <c r="Y320" s="43">
        <v>1</v>
      </c>
      <c r="Z320" s="41">
        <f t="shared" si="156"/>
        <v>1881950</v>
      </c>
      <c r="AA320" s="41">
        <f t="shared" si="173"/>
        <v>156000</v>
      </c>
      <c r="AB320" s="41">
        <f t="shared" si="157"/>
        <v>2808000</v>
      </c>
      <c r="AC320" s="38"/>
      <c r="AD320" s="44">
        <f t="shared" si="155"/>
        <v>0</v>
      </c>
      <c r="AE320" s="41">
        <f t="shared" si="158"/>
        <v>5781950</v>
      </c>
      <c r="AF320" s="314"/>
      <c r="AG320" s="45"/>
      <c r="AH320" s="67"/>
      <c r="AI320" s="67"/>
      <c r="AJ320" s="67"/>
    </row>
    <row r="321" spans="1:36" s="68" customFormat="1" ht="54" customHeight="1">
      <c r="A321" s="308"/>
      <c r="B321" s="33" t="s">
        <v>419</v>
      </c>
      <c r="C321" s="50"/>
      <c r="D321" s="50"/>
      <c r="E321" s="51"/>
      <c r="F321" s="34">
        <v>208</v>
      </c>
      <c r="G321" s="34">
        <v>28</v>
      </c>
      <c r="H321" s="35">
        <v>75.099999999999994</v>
      </c>
      <c r="I321" s="97" t="s">
        <v>49</v>
      </c>
      <c r="J321" s="36" t="s">
        <v>242</v>
      </c>
      <c r="K321" s="37"/>
      <c r="L321" s="38"/>
      <c r="M321" s="38">
        <v>75.099999999999994</v>
      </c>
      <c r="N321" s="38"/>
      <c r="O321" s="38"/>
      <c r="P321" s="39">
        <f t="shared" si="152"/>
        <v>75.099999999999994</v>
      </c>
      <c r="Q321" s="311"/>
      <c r="R321" s="40">
        <v>55000</v>
      </c>
      <c r="S321" s="41">
        <f t="shared" si="172"/>
        <v>4130499.9999999995</v>
      </c>
      <c r="T321" s="41"/>
      <c r="U321" s="42" t="s">
        <v>246</v>
      </c>
      <c r="V321" s="66">
        <v>15</v>
      </c>
      <c r="W321" s="38" t="s">
        <v>52</v>
      </c>
      <c r="X321" s="41">
        <v>118000</v>
      </c>
      <c r="Y321" s="43">
        <v>1</v>
      </c>
      <c r="Z321" s="41">
        <f t="shared" si="156"/>
        <v>1770000</v>
      </c>
      <c r="AA321" s="41">
        <f t="shared" ref="AA321:AA322" si="179">P321*7000</f>
        <v>525700</v>
      </c>
      <c r="AB321" s="41">
        <f t="shared" si="157"/>
        <v>12391499.999999998</v>
      </c>
      <c r="AC321" s="38"/>
      <c r="AD321" s="44">
        <f t="shared" si="155"/>
        <v>0</v>
      </c>
      <c r="AE321" s="41">
        <f t="shared" si="158"/>
        <v>18817700</v>
      </c>
      <c r="AF321" s="314"/>
      <c r="AG321" s="45"/>
      <c r="AH321" s="67"/>
      <c r="AI321" s="67"/>
      <c r="AJ321" s="67"/>
    </row>
    <row r="322" spans="1:36" s="68" customFormat="1" ht="54" customHeight="1">
      <c r="A322" s="308"/>
      <c r="B322" s="33" t="s">
        <v>419</v>
      </c>
      <c r="C322" s="50"/>
      <c r="D322" s="50"/>
      <c r="E322" s="51"/>
      <c r="F322" s="34">
        <v>210</v>
      </c>
      <c r="G322" s="34">
        <v>28</v>
      </c>
      <c r="H322" s="35">
        <v>132.19999999999999</v>
      </c>
      <c r="I322" s="97" t="s">
        <v>49</v>
      </c>
      <c r="J322" s="36" t="s">
        <v>242</v>
      </c>
      <c r="K322" s="37"/>
      <c r="L322" s="38"/>
      <c r="M322" s="38">
        <v>132.19999999999999</v>
      </c>
      <c r="N322" s="38"/>
      <c r="O322" s="38"/>
      <c r="P322" s="39">
        <f t="shared" si="152"/>
        <v>132.19999999999999</v>
      </c>
      <c r="Q322" s="311"/>
      <c r="R322" s="40">
        <v>55000</v>
      </c>
      <c r="S322" s="41">
        <f t="shared" si="172"/>
        <v>7270999.9999999991</v>
      </c>
      <c r="T322" s="41"/>
      <c r="U322" s="42" t="s">
        <v>246</v>
      </c>
      <c r="V322" s="66">
        <v>27</v>
      </c>
      <c r="W322" s="38" t="s">
        <v>52</v>
      </c>
      <c r="X322" s="41">
        <v>118000</v>
      </c>
      <c r="Y322" s="43">
        <v>1</v>
      </c>
      <c r="Z322" s="41">
        <f t="shared" si="156"/>
        <v>3186000</v>
      </c>
      <c r="AA322" s="41">
        <f t="shared" si="179"/>
        <v>925399.99999999988</v>
      </c>
      <c r="AB322" s="41">
        <f t="shared" si="157"/>
        <v>21812999.999999996</v>
      </c>
      <c r="AC322" s="38"/>
      <c r="AD322" s="44">
        <f t="shared" si="155"/>
        <v>0</v>
      </c>
      <c r="AE322" s="41">
        <f t="shared" si="158"/>
        <v>33195399.999999996</v>
      </c>
      <c r="AF322" s="314"/>
      <c r="AG322" s="45"/>
      <c r="AH322" s="67"/>
      <c r="AI322" s="67"/>
      <c r="AJ322" s="67"/>
    </row>
    <row r="323" spans="1:36" s="68" customFormat="1" ht="54" customHeight="1">
      <c r="A323" s="308"/>
      <c r="B323" s="33" t="s">
        <v>419</v>
      </c>
      <c r="C323" s="50"/>
      <c r="D323" s="50"/>
      <c r="E323" s="51"/>
      <c r="F323" s="34">
        <v>275</v>
      </c>
      <c r="G323" s="34">
        <v>28</v>
      </c>
      <c r="H323" s="35">
        <v>206.2</v>
      </c>
      <c r="I323" s="97" t="s">
        <v>45</v>
      </c>
      <c r="J323" s="36" t="s">
        <v>410</v>
      </c>
      <c r="K323" s="37"/>
      <c r="L323" s="38">
        <f t="shared" si="178"/>
        <v>206.2</v>
      </c>
      <c r="M323" s="38"/>
      <c r="N323" s="38"/>
      <c r="O323" s="38"/>
      <c r="P323" s="39">
        <f t="shared" si="152"/>
        <v>206.2</v>
      </c>
      <c r="Q323" s="311"/>
      <c r="R323" s="40">
        <v>60000</v>
      </c>
      <c r="S323" s="41">
        <f t="shared" si="172"/>
        <v>12372000</v>
      </c>
      <c r="T323" s="41"/>
      <c r="U323" s="42" t="s">
        <v>64</v>
      </c>
      <c r="V323" s="66">
        <v>206.2</v>
      </c>
      <c r="W323" s="38" t="s">
        <v>48</v>
      </c>
      <c r="X323" s="41">
        <v>9500</v>
      </c>
      <c r="Y323" s="43">
        <v>1</v>
      </c>
      <c r="Z323" s="41">
        <f t="shared" si="156"/>
        <v>1958900</v>
      </c>
      <c r="AA323" s="41">
        <f t="shared" ref="AA323:AA324" si="180">P323*10000</f>
        <v>2062000</v>
      </c>
      <c r="AB323" s="41">
        <f t="shared" si="157"/>
        <v>37116000</v>
      </c>
      <c r="AC323" s="38"/>
      <c r="AD323" s="44">
        <f t="shared" si="155"/>
        <v>0</v>
      </c>
      <c r="AE323" s="41">
        <f t="shared" si="158"/>
        <v>53508900</v>
      </c>
      <c r="AF323" s="314"/>
      <c r="AG323" s="45"/>
      <c r="AH323" s="67"/>
      <c r="AI323" s="67"/>
      <c r="AJ323" s="67"/>
    </row>
    <row r="324" spans="1:36" s="68" customFormat="1" ht="54" customHeight="1">
      <c r="A324" s="308"/>
      <c r="B324" s="33" t="s">
        <v>419</v>
      </c>
      <c r="C324" s="50">
        <v>187</v>
      </c>
      <c r="D324" s="50">
        <v>5</v>
      </c>
      <c r="E324" s="51">
        <v>108</v>
      </c>
      <c r="F324" s="34">
        <v>367</v>
      </c>
      <c r="G324" s="34">
        <v>28</v>
      </c>
      <c r="H324" s="35">
        <v>136.6</v>
      </c>
      <c r="I324" s="97" t="s">
        <v>49</v>
      </c>
      <c r="J324" s="36" t="s">
        <v>410</v>
      </c>
      <c r="K324" s="37">
        <f t="shared" si="174"/>
        <v>108</v>
      </c>
      <c r="L324" s="38">
        <f t="shared" si="178"/>
        <v>28.599999999999994</v>
      </c>
      <c r="M324" s="38"/>
      <c r="N324" s="38"/>
      <c r="O324" s="38"/>
      <c r="P324" s="39">
        <f t="shared" si="152"/>
        <v>136.6</v>
      </c>
      <c r="Q324" s="311"/>
      <c r="R324" s="40">
        <v>60000</v>
      </c>
      <c r="S324" s="41">
        <f t="shared" si="172"/>
        <v>8196000</v>
      </c>
      <c r="T324" s="41"/>
      <c r="U324" s="42" t="s">
        <v>64</v>
      </c>
      <c r="V324" s="66">
        <v>136.6</v>
      </c>
      <c r="W324" s="38" t="s">
        <v>48</v>
      </c>
      <c r="X324" s="41">
        <v>9500</v>
      </c>
      <c r="Y324" s="43">
        <v>1</v>
      </c>
      <c r="Z324" s="41">
        <f t="shared" si="156"/>
        <v>1297700</v>
      </c>
      <c r="AA324" s="41">
        <f t="shared" si="180"/>
        <v>1366000</v>
      </c>
      <c r="AB324" s="41">
        <f t="shared" si="157"/>
        <v>24588000</v>
      </c>
      <c r="AC324" s="38"/>
      <c r="AD324" s="44">
        <f t="shared" si="155"/>
        <v>0</v>
      </c>
      <c r="AE324" s="41">
        <f t="shared" si="158"/>
        <v>35447700</v>
      </c>
      <c r="AF324" s="314"/>
      <c r="AG324" s="45"/>
      <c r="AH324" s="67"/>
      <c r="AI324" s="67"/>
      <c r="AJ324" s="67"/>
    </row>
    <row r="325" spans="1:36" s="68" customFormat="1" ht="54" customHeight="1">
      <c r="A325" s="309"/>
      <c r="B325" s="33" t="s">
        <v>419</v>
      </c>
      <c r="C325" s="50"/>
      <c r="D325" s="50"/>
      <c r="E325" s="51"/>
      <c r="F325" s="34">
        <v>367</v>
      </c>
      <c r="G325" s="34">
        <v>28</v>
      </c>
      <c r="H325" s="35">
        <v>136.6</v>
      </c>
      <c r="I325" s="97" t="s">
        <v>49</v>
      </c>
      <c r="J325" s="36" t="s">
        <v>410</v>
      </c>
      <c r="K325" s="37"/>
      <c r="L325" s="38"/>
      <c r="M325" s="38"/>
      <c r="N325" s="38"/>
      <c r="O325" s="38"/>
      <c r="P325" s="39">
        <f t="shared" si="152"/>
        <v>0</v>
      </c>
      <c r="Q325" s="312"/>
      <c r="R325" s="40"/>
      <c r="S325" s="41"/>
      <c r="T325" s="41"/>
      <c r="U325" s="42" t="s">
        <v>220</v>
      </c>
      <c r="V325" s="66"/>
      <c r="W325" s="38"/>
      <c r="X325" s="41"/>
      <c r="Y325" s="43"/>
      <c r="Z325" s="41"/>
      <c r="AA325" s="41"/>
      <c r="AB325" s="41"/>
      <c r="AC325" s="38"/>
      <c r="AD325" s="44">
        <f t="shared" si="155"/>
        <v>0</v>
      </c>
      <c r="AE325" s="41">
        <f t="shared" si="158"/>
        <v>0</v>
      </c>
      <c r="AF325" s="315"/>
      <c r="AG325" s="45" t="s">
        <v>174</v>
      </c>
      <c r="AH325" s="67"/>
      <c r="AI325" s="67"/>
      <c r="AJ325" s="67"/>
    </row>
    <row r="326" spans="1:36" s="68" customFormat="1" ht="54" customHeight="1">
      <c r="A326" s="307">
        <v>83</v>
      </c>
      <c r="B326" s="33" t="s">
        <v>420</v>
      </c>
      <c r="C326" s="72">
        <v>105</v>
      </c>
      <c r="D326" s="72">
        <v>4</v>
      </c>
      <c r="E326" s="73">
        <v>216</v>
      </c>
      <c r="F326" s="34">
        <v>147</v>
      </c>
      <c r="G326" s="34">
        <v>28</v>
      </c>
      <c r="H326" s="35">
        <v>178.8</v>
      </c>
      <c r="I326" s="34" t="s">
        <v>45</v>
      </c>
      <c r="J326" s="36" t="s">
        <v>46</v>
      </c>
      <c r="K326" s="37">
        <v>178.8</v>
      </c>
      <c r="L326" s="38">
        <f t="shared" ref="L326" si="181">H326-K326</f>
        <v>0</v>
      </c>
      <c r="M326" s="38"/>
      <c r="N326" s="38"/>
      <c r="O326" s="38"/>
      <c r="P326" s="39">
        <f t="shared" si="152"/>
        <v>178.8</v>
      </c>
      <c r="Q326" s="310">
        <f>SUM(P326:P332)</f>
        <v>1182.3</v>
      </c>
      <c r="R326" s="40">
        <v>60000</v>
      </c>
      <c r="S326" s="41">
        <f t="shared" ref="S326:S329" si="182">P326*R326</f>
        <v>10728000</v>
      </c>
      <c r="T326" s="41"/>
      <c r="U326" s="42" t="s">
        <v>64</v>
      </c>
      <c r="V326" s="66">
        <f t="shared" ref="V326:V331" si="183">P326</f>
        <v>178.8</v>
      </c>
      <c r="W326" s="38" t="s">
        <v>48</v>
      </c>
      <c r="X326" s="41">
        <v>9500</v>
      </c>
      <c r="Y326" s="43">
        <v>1</v>
      </c>
      <c r="Z326" s="41">
        <f t="shared" ref="Z326:Z327" si="184">V326*X326*Y326</f>
        <v>1698600</v>
      </c>
      <c r="AA326" s="41">
        <f t="shared" ref="AA326:AA329" si="185">P326*10000</f>
        <v>1788000</v>
      </c>
      <c r="AB326" s="41">
        <f t="shared" ref="AB326:AB327" si="186">P326*R326*3</f>
        <v>32184000</v>
      </c>
      <c r="AC326" s="38">
        <v>2</v>
      </c>
      <c r="AD326" s="44">
        <f t="shared" si="155"/>
        <v>7000000</v>
      </c>
      <c r="AE326" s="41">
        <f t="shared" si="158"/>
        <v>53398600</v>
      </c>
      <c r="AF326" s="313">
        <f>SUM(AE326:AE332)</f>
        <v>321465850</v>
      </c>
      <c r="AG326" s="45"/>
      <c r="AH326" s="67"/>
      <c r="AI326" s="67"/>
      <c r="AJ326" s="67"/>
    </row>
    <row r="327" spans="1:36" s="68" customFormat="1" ht="54" customHeight="1">
      <c r="A327" s="308"/>
      <c r="B327" s="33" t="s">
        <v>420</v>
      </c>
      <c r="C327" s="72"/>
      <c r="D327" s="72"/>
      <c r="E327" s="73"/>
      <c r="F327" s="34">
        <v>145</v>
      </c>
      <c r="G327" s="34">
        <v>28</v>
      </c>
      <c r="H327" s="35">
        <v>555.79999999999995</v>
      </c>
      <c r="I327" s="34" t="s">
        <v>45</v>
      </c>
      <c r="J327" s="36" t="s">
        <v>46</v>
      </c>
      <c r="K327" s="37">
        <v>37.200000000000003</v>
      </c>
      <c r="L327" s="38"/>
      <c r="M327" s="38"/>
      <c r="N327" s="38"/>
      <c r="O327" s="38"/>
      <c r="P327" s="39">
        <f t="shared" si="152"/>
        <v>37.200000000000003</v>
      </c>
      <c r="Q327" s="311"/>
      <c r="R327" s="40">
        <v>60000</v>
      </c>
      <c r="S327" s="41">
        <f t="shared" si="182"/>
        <v>2232000</v>
      </c>
      <c r="T327" s="41"/>
      <c r="U327" s="42" t="s">
        <v>64</v>
      </c>
      <c r="V327" s="66">
        <f t="shared" si="183"/>
        <v>37.200000000000003</v>
      </c>
      <c r="W327" s="38" t="s">
        <v>48</v>
      </c>
      <c r="X327" s="41">
        <v>9500</v>
      </c>
      <c r="Y327" s="43">
        <v>1</v>
      </c>
      <c r="Z327" s="41">
        <f t="shared" si="184"/>
        <v>353400</v>
      </c>
      <c r="AA327" s="41">
        <f t="shared" si="185"/>
        <v>372000</v>
      </c>
      <c r="AB327" s="41">
        <f t="shared" si="186"/>
        <v>6696000</v>
      </c>
      <c r="AC327" s="38"/>
      <c r="AD327" s="44">
        <f t="shared" si="155"/>
        <v>0</v>
      </c>
      <c r="AE327" s="41">
        <f t="shared" si="158"/>
        <v>9653400</v>
      </c>
      <c r="AF327" s="314"/>
      <c r="AG327" s="45"/>
      <c r="AH327" s="67"/>
      <c r="AI327" s="67"/>
      <c r="AJ327" s="67"/>
    </row>
    <row r="328" spans="1:36" s="68" customFormat="1" ht="54" customHeight="1">
      <c r="A328" s="308"/>
      <c r="B328" s="33" t="s">
        <v>420</v>
      </c>
      <c r="C328" s="50"/>
      <c r="D328" s="50"/>
      <c r="E328" s="51"/>
      <c r="F328" s="34">
        <v>250</v>
      </c>
      <c r="G328" s="34">
        <v>21</v>
      </c>
      <c r="H328" s="35">
        <v>274.7</v>
      </c>
      <c r="I328" s="34" t="s">
        <v>45</v>
      </c>
      <c r="J328" s="36" t="s">
        <v>227</v>
      </c>
      <c r="K328" s="37"/>
      <c r="L328" s="38">
        <f t="shared" si="178"/>
        <v>274.7</v>
      </c>
      <c r="M328" s="38"/>
      <c r="N328" s="38"/>
      <c r="O328" s="38"/>
      <c r="P328" s="39">
        <f t="shared" si="152"/>
        <v>274.7</v>
      </c>
      <c r="Q328" s="311"/>
      <c r="R328" s="40">
        <v>60000</v>
      </c>
      <c r="S328" s="41">
        <f t="shared" si="182"/>
        <v>16482000</v>
      </c>
      <c r="T328" s="41"/>
      <c r="U328" s="42" t="s">
        <v>64</v>
      </c>
      <c r="V328" s="66">
        <f t="shared" si="183"/>
        <v>274.7</v>
      </c>
      <c r="W328" s="38" t="s">
        <v>48</v>
      </c>
      <c r="X328" s="41">
        <v>9500</v>
      </c>
      <c r="Y328" s="43">
        <v>1</v>
      </c>
      <c r="Z328" s="41">
        <f t="shared" si="156"/>
        <v>2609650</v>
      </c>
      <c r="AA328" s="41">
        <f t="shared" si="185"/>
        <v>2747000</v>
      </c>
      <c r="AB328" s="41">
        <f t="shared" si="157"/>
        <v>49446000</v>
      </c>
      <c r="AC328" s="38"/>
      <c r="AD328" s="44">
        <f t="shared" si="155"/>
        <v>0</v>
      </c>
      <c r="AE328" s="41">
        <f t="shared" si="158"/>
        <v>71284650</v>
      </c>
      <c r="AF328" s="314"/>
      <c r="AG328" s="45"/>
      <c r="AH328" s="67"/>
      <c r="AI328" s="67"/>
      <c r="AJ328" s="67"/>
    </row>
    <row r="329" spans="1:36" s="68" customFormat="1" ht="54" customHeight="1">
      <c r="A329" s="308"/>
      <c r="B329" s="33" t="s">
        <v>420</v>
      </c>
      <c r="C329" s="50">
        <v>54</v>
      </c>
      <c r="D329" s="50">
        <v>4</v>
      </c>
      <c r="E329" s="51">
        <v>540</v>
      </c>
      <c r="F329" s="34">
        <v>17</v>
      </c>
      <c r="G329" s="34">
        <v>28</v>
      </c>
      <c r="H329" s="35">
        <v>594.79999999999995</v>
      </c>
      <c r="I329" s="34" t="s">
        <v>45</v>
      </c>
      <c r="J329" s="36" t="s">
        <v>54</v>
      </c>
      <c r="K329" s="37">
        <f t="shared" ref="K329" si="187">E329</f>
        <v>540</v>
      </c>
      <c r="L329" s="38">
        <f t="shared" si="178"/>
        <v>54.799999999999955</v>
      </c>
      <c r="M329" s="38"/>
      <c r="N329" s="38"/>
      <c r="O329" s="38"/>
      <c r="P329" s="39">
        <f t="shared" si="152"/>
        <v>594.79999999999995</v>
      </c>
      <c r="Q329" s="311"/>
      <c r="R329" s="40">
        <v>60000</v>
      </c>
      <c r="S329" s="41">
        <f t="shared" si="182"/>
        <v>35688000</v>
      </c>
      <c r="T329" s="41"/>
      <c r="U329" s="42" t="s">
        <v>421</v>
      </c>
      <c r="V329" s="66">
        <v>50</v>
      </c>
      <c r="W329" s="38" t="s">
        <v>52</v>
      </c>
      <c r="X329" s="41">
        <v>163000</v>
      </c>
      <c r="Y329" s="43">
        <v>0.8</v>
      </c>
      <c r="Z329" s="41">
        <f t="shared" si="156"/>
        <v>6520000</v>
      </c>
      <c r="AA329" s="41">
        <f t="shared" si="185"/>
        <v>5948000</v>
      </c>
      <c r="AB329" s="41">
        <f t="shared" si="157"/>
        <v>107064000</v>
      </c>
      <c r="AC329" s="38"/>
      <c r="AD329" s="44">
        <f t="shared" si="155"/>
        <v>0</v>
      </c>
      <c r="AE329" s="41">
        <f t="shared" si="158"/>
        <v>155220000</v>
      </c>
      <c r="AF329" s="314"/>
      <c r="AG329" s="45"/>
      <c r="AH329" s="67"/>
      <c r="AI329" s="67"/>
      <c r="AJ329" s="67"/>
    </row>
    <row r="330" spans="1:36" s="68" customFormat="1" ht="54" customHeight="1">
      <c r="A330" s="308"/>
      <c r="B330" s="33" t="s">
        <v>420</v>
      </c>
      <c r="C330" s="50"/>
      <c r="D330" s="50"/>
      <c r="E330" s="51"/>
      <c r="F330" s="34">
        <v>17</v>
      </c>
      <c r="G330" s="34">
        <v>28</v>
      </c>
      <c r="H330" s="35">
        <v>594.79999999999995</v>
      </c>
      <c r="I330" s="34" t="s">
        <v>45</v>
      </c>
      <c r="J330" s="36" t="s">
        <v>54</v>
      </c>
      <c r="K330" s="37"/>
      <c r="L330" s="38"/>
      <c r="M330" s="38"/>
      <c r="N330" s="38"/>
      <c r="O330" s="38"/>
      <c r="P330" s="39">
        <f t="shared" si="152"/>
        <v>0</v>
      </c>
      <c r="Q330" s="311"/>
      <c r="R330" s="40"/>
      <c r="S330" s="41">
        <f t="shared" si="172"/>
        <v>0</v>
      </c>
      <c r="T330" s="41"/>
      <c r="U330" s="42" t="s">
        <v>422</v>
      </c>
      <c r="V330" s="66">
        <v>69</v>
      </c>
      <c r="W330" s="38" t="s">
        <v>52</v>
      </c>
      <c r="X330" s="41">
        <v>123000</v>
      </c>
      <c r="Y330" s="43">
        <v>0.8</v>
      </c>
      <c r="Z330" s="41">
        <f t="shared" si="156"/>
        <v>6789600</v>
      </c>
      <c r="AA330" s="41">
        <f t="shared" si="173"/>
        <v>0</v>
      </c>
      <c r="AB330" s="41">
        <f t="shared" si="157"/>
        <v>0</v>
      </c>
      <c r="AC330" s="38"/>
      <c r="AD330" s="44">
        <f t="shared" si="155"/>
        <v>0</v>
      </c>
      <c r="AE330" s="41">
        <f t="shared" si="158"/>
        <v>6789600</v>
      </c>
      <c r="AF330" s="314"/>
      <c r="AG330" s="45"/>
      <c r="AH330" s="67"/>
      <c r="AI330" s="67"/>
      <c r="AJ330" s="67"/>
    </row>
    <row r="331" spans="1:36" s="68" customFormat="1" ht="54" customHeight="1">
      <c r="A331" s="308"/>
      <c r="B331" s="33" t="s">
        <v>420</v>
      </c>
      <c r="C331" s="50" t="s">
        <v>423</v>
      </c>
      <c r="D331" s="50"/>
      <c r="E331" s="51">
        <v>108</v>
      </c>
      <c r="F331" s="34">
        <v>294</v>
      </c>
      <c r="G331" s="34">
        <v>28</v>
      </c>
      <c r="H331" s="35">
        <v>96.8</v>
      </c>
      <c r="I331" s="34" t="s">
        <v>49</v>
      </c>
      <c r="J331" s="36" t="s">
        <v>109</v>
      </c>
      <c r="K331" s="37"/>
      <c r="L331" s="38">
        <f t="shared" si="178"/>
        <v>96.8</v>
      </c>
      <c r="M331" s="38"/>
      <c r="N331" s="38"/>
      <c r="O331" s="38"/>
      <c r="P331" s="39">
        <f t="shared" si="152"/>
        <v>96.8</v>
      </c>
      <c r="Q331" s="311"/>
      <c r="R331" s="40">
        <v>60000</v>
      </c>
      <c r="S331" s="41">
        <f>P331*R331</f>
        <v>5808000</v>
      </c>
      <c r="T331" s="41"/>
      <c r="U331" s="42" t="s">
        <v>64</v>
      </c>
      <c r="V331" s="66">
        <f t="shared" si="183"/>
        <v>96.8</v>
      </c>
      <c r="W331" s="38" t="s">
        <v>52</v>
      </c>
      <c r="X331" s="41">
        <v>9500</v>
      </c>
      <c r="Y331" s="43">
        <v>1</v>
      </c>
      <c r="Z331" s="41">
        <f t="shared" si="156"/>
        <v>919600</v>
      </c>
      <c r="AA331" s="41">
        <f>P331*10000</f>
        <v>968000</v>
      </c>
      <c r="AB331" s="41">
        <f t="shared" si="157"/>
        <v>17424000</v>
      </c>
      <c r="AC331" s="38"/>
      <c r="AD331" s="44">
        <f t="shared" si="155"/>
        <v>0</v>
      </c>
      <c r="AE331" s="41">
        <f t="shared" si="158"/>
        <v>25119600</v>
      </c>
      <c r="AF331" s="314"/>
      <c r="AG331" s="45"/>
      <c r="AH331" s="67"/>
      <c r="AI331" s="67"/>
      <c r="AJ331" s="67"/>
    </row>
    <row r="332" spans="1:36" s="68" customFormat="1" ht="54" customHeight="1">
      <c r="A332" s="309"/>
      <c r="B332" s="33" t="s">
        <v>420</v>
      </c>
      <c r="C332" s="50"/>
      <c r="D332" s="50"/>
      <c r="E332" s="51"/>
      <c r="F332" s="34">
        <v>294</v>
      </c>
      <c r="G332" s="34">
        <v>28</v>
      </c>
      <c r="H332" s="35">
        <v>96.8</v>
      </c>
      <c r="I332" s="34" t="s">
        <v>49</v>
      </c>
      <c r="J332" s="36" t="s">
        <v>109</v>
      </c>
      <c r="K332" s="37"/>
      <c r="L332" s="38"/>
      <c r="M332" s="38"/>
      <c r="N332" s="38"/>
      <c r="O332" s="38"/>
      <c r="P332" s="39">
        <f t="shared" ref="P332:P395" si="188">SUM(K332:O332)</f>
        <v>0</v>
      </c>
      <c r="Q332" s="312"/>
      <c r="R332" s="40"/>
      <c r="S332" s="41"/>
      <c r="T332" s="41"/>
      <c r="U332" s="42" t="s">
        <v>220</v>
      </c>
      <c r="V332" s="66"/>
      <c r="W332" s="38"/>
      <c r="X332" s="41"/>
      <c r="Y332" s="43"/>
      <c r="Z332" s="41"/>
      <c r="AA332" s="41"/>
      <c r="AB332" s="41"/>
      <c r="AC332" s="38"/>
      <c r="AD332" s="44">
        <f t="shared" ref="AD332:AD395" si="189">AC332*3500000</f>
        <v>0</v>
      </c>
      <c r="AE332" s="41">
        <f t="shared" si="158"/>
        <v>0</v>
      </c>
      <c r="AF332" s="315"/>
      <c r="AG332" s="45" t="s">
        <v>174</v>
      </c>
      <c r="AH332" s="67"/>
      <c r="AI332" s="67"/>
      <c r="AJ332" s="67"/>
    </row>
    <row r="333" spans="1:36" s="68" customFormat="1" ht="83.25" customHeight="1">
      <c r="A333" s="32">
        <v>84</v>
      </c>
      <c r="B333" s="33" t="s">
        <v>424</v>
      </c>
      <c r="C333" s="50">
        <v>79</v>
      </c>
      <c r="D333" s="50">
        <v>4</v>
      </c>
      <c r="E333" s="51">
        <v>360</v>
      </c>
      <c r="F333" s="34">
        <v>30</v>
      </c>
      <c r="G333" s="34">
        <v>28</v>
      </c>
      <c r="H333" s="35">
        <v>336.9</v>
      </c>
      <c r="I333" s="34" t="s">
        <v>45</v>
      </c>
      <c r="J333" s="36" t="s">
        <v>60</v>
      </c>
      <c r="K333" s="37">
        <v>336.9</v>
      </c>
      <c r="L333" s="38"/>
      <c r="M333" s="38"/>
      <c r="N333" s="38"/>
      <c r="O333" s="38"/>
      <c r="P333" s="39">
        <f t="shared" si="188"/>
        <v>336.9</v>
      </c>
      <c r="Q333" s="63">
        <f>P333</f>
        <v>336.9</v>
      </c>
      <c r="R333" s="40">
        <v>60000</v>
      </c>
      <c r="S333" s="41">
        <f t="shared" ref="S333:S335" si="190">P333*R333</f>
        <v>20214000</v>
      </c>
      <c r="T333" s="41"/>
      <c r="U333" s="42" t="s">
        <v>64</v>
      </c>
      <c r="V333" s="66">
        <f>P333</f>
        <v>336.9</v>
      </c>
      <c r="W333" s="38" t="s">
        <v>48</v>
      </c>
      <c r="X333" s="41">
        <v>9500</v>
      </c>
      <c r="Y333" s="43">
        <v>1</v>
      </c>
      <c r="Z333" s="41">
        <f t="shared" si="156"/>
        <v>3200550</v>
      </c>
      <c r="AA333" s="41">
        <f t="shared" ref="AA333:AA335" si="191">P333*10000</f>
        <v>3369000</v>
      </c>
      <c r="AB333" s="41">
        <f t="shared" si="157"/>
        <v>60642000</v>
      </c>
      <c r="AC333" s="38"/>
      <c r="AD333" s="44">
        <f t="shared" si="189"/>
        <v>0</v>
      </c>
      <c r="AE333" s="41">
        <f t="shared" si="158"/>
        <v>87425550</v>
      </c>
      <c r="AF333" s="64">
        <f>AE333</f>
        <v>87425550</v>
      </c>
      <c r="AG333" s="45"/>
      <c r="AH333" s="67"/>
      <c r="AI333" s="67"/>
      <c r="AJ333" s="67"/>
    </row>
    <row r="334" spans="1:36" s="68" customFormat="1" ht="48" customHeight="1">
      <c r="A334" s="307">
        <v>85</v>
      </c>
      <c r="B334" s="33" t="s">
        <v>425</v>
      </c>
      <c r="C334" s="72">
        <v>98</v>
      </c>
      <c r="D334" s="72">
        <v>5</v>
      </c>
      <c r="E334" s="73">
        <v>240</v>
      </c>
      <c r="F334" s="34">
        <v>75</v>
      </c>
      <c r="G334" s="34">
        <v>28</v>
      </c>
      <c r="H334" s="35">
        <v>408.7</v>
      </c>
      <c r="I334" s="34" t="s">
        <v>45</v>
      </c>
      <c r="J334" s="36" t="s">
        <v>60</v>
      </c>
      <c r="K334" s="37">
        <v>240</v>
      </c>
      <c r="L334" s="38">
        <f>364.6-240</f>
        <v>124.60000000000002</v>
      </c>
      <c r="M334" s="38"/>
      <c r="N334" s="38"/>
      <c r="O334" s="38"/>
      <c r="P334" s="39">
        <f t="shared" si="188"/>
        <v>364.6</v>
      </c>
      <c r="Q334" s="311">
        <f>SUM(P334:P342)</f>
        <v>1344.9</v>
      </c>
      <c r="R334" s="40">
        <v>60000</v>
      </c>
      <c r="S334" s="41">
        <f t="shared" si="190"/>
        <v>21876000</v>
      </c>
      <c r="T334" s="41"/>
      <c r="U334" s="42" t="s">
        <v>64</v>
      </c>
      <c r="V334" s="66">
        <f t="shared" ref="V334:V341" si="192">P334</f>
        <v>364.6</v>
      </c>
      <c r="W334" s="38" t="s">
        <v>48</v>
      </c>
      <c r="X334" s="41">
        <v>9500</v>
      </c>
      <c r="Y334" s="43">
        <v>1</v>
      </c>
      <c r="Z334" s="41">
        <f t="shared" si="156"/>
        <v>3463700</v>
      </c>
      <c r="AA334" s="41">
        <f t="shared" si="191"/>
        <v>3646000</v>
      </c>
      <c r="AB334" s="41">
        <f t="shared" si="157"/>
        <v>65628000</v>
      </c>
      <c r="AC334" s="38">
        <v>3</v>
      </c>
      <c r="AD334" s="44">
        <f t="shared" si="189"/>
        <v>10500000</v>
      </c>
      <c r="AE334" s="41">
        <f t="shared" si="158"/>
        <v>105113700</v>
      </c>
      <c r="AF334" s="314">
        <f>SUM(AE334:AE342)</f>
        <v>344425950</v>
      </c>
      <c r="AG334" s="45"/>
      <c r="AH334" s="67"/>
      <c r="AI334" s="67"/>
      <c r="AJ334" s="67"/>
    </row>
    <row r="335" spans="1:36" s="68" customFormat="1" ht="48" customHeight="1">
      <c r="A335" s="308"/>
      <c r="B335" s="33" t="s">
        <v>425</v>
      </c>
      <c r="C335" s="77"/>
      <c r="D335" s="77"/>
      <c r="E335" s="78"/>
      <c r="F335" s="34">
        <v>74</v>
      </c>
      <c r="G335" s="34">
        <v>28</v>
      </c>
      <c r="H335" s="35">
        <v>471.5</v>
      </c>
      <c r="I335" s="34" t="s">
        <v>45</v>
      </c>
      <c r="J335" s="36" t="s">
        <v>60</v>
      </c>
      <c r="K335" s="37"/>
      <c r="L335" s="38">
        <v>116.8</v>
      </c>
      <c r="M335" s="38"/>
      <c r="N335" s="38"/>
      <c r="O335" s="38"/>
      <c r="P335" s="39">
        <f t="shared" si="188"/>
        <v>116.8</v>
      </c>
      <c r="Q335" s="311"/>
      <c r="R335" s="40">
        <v>60000</v>
      </c>
      <c r="S335" s="41">
        <f t="shared" si="190"/>
        <v>7008000</v>
      </c>
      <c r="T335" s="41"/>
      <c r="U335" s="42" t="s">
        <v>64</v>
      </c>
      <c r="V335" s="66">
        <f t="shared" si="192"/>
        <v>116.8</v>
      </c>
      <c r="W335" s="38" t="s">
        <v>48</v>
      </c>
      <c r="X335" s="41">
        <v>9500</v>
      </c>
      <c r="Y335" s="43">
        <v>1</v>
      </c>
      <c r="Z335" s="41">
        <f t="shared" si="156"/>
        <v>1109600</v>
      </c>
      <c r="AA335" s="41">
        <f t="shared" si="191"/>
        <v>1168000</v>
      </c>
      <c r="AB335" s="41">
        <f t="shared" si="157"/>
        <v>21024000</v>
      </c>
      <c r="AC335" s="38"/>
      <c r="AD335" s="44">
        <f t="shared" si="189"/>
        <v>0</v>
      </c>
      <c r="AE335" s="41">
        <f t="shared" si="158"/>
        <v>30309600</v>
      </c>
      <c r="AF335" s="314"/>
      <c r="AG335" s="45"/>
      <c r="AH335" s="67"/>
      <c r="AI335" s="67"/>
      <c r="AJ335" s="67"/>
    </row>
    <row r="336" spans="1:36" s="68" customFormat="1" ht="48" customHeight="1">
      <c r="A336" s="308"/>
      <c r="B336" s="33" t="s">
        <v>425</v>
      </c>
      <c r="C336" s="50"/>
      <c r="D336" s="50"/>
      <c r="E336" s="51"/>
      <c r="F336" s="34">
        <v>152</v>
      </c>
      <c r="G336" s="34">
        <v>28</v>
      </c>
      <c r="H336" s="35">
        <v>103.5</v>
      </c>
      <c r="I336" s="34" t="s">
        <v>55</v>
      </c>
      <c r="J336" s="36" t="s">
        <v>60</v>
      </c>
      <c r="K336" s="37"/>
      <c r="L336" s="38"/>
      <c r="M336" s="38"/>
      <c r="N336" s="38">
        <v>103.5</v>
      </c>
      <c r="O336" s="38"/>
      <c r="P336" s="39">
        <f t="shared" si="188"/>
        <v>103.5</v>
      </c>
      <c r="Q336" s="311"/>
      <c r="R336" s="40"/>
      <c r="S336" s="41">
        <f t="shared" si="172"/>
        <v>0</v>
      </c>
      <c r="T336" s="41">
        <f>N336*30000</f>
        <v>3105000</v>
      </c>
      <c r="U336" s="42" t="s">
        <v>421</v>
      </c>
      <c r="V336" s="66">
        <v>21</v>
      </c>
      <c r="W336" s="38" t="s">
        <v>52</v>
      </c>
      <c r="X336" s="41">
        <v>163000</v>
      </c>
      <c r="Y336" s="43">
        <v>0.8</v>
      </c>
      <c r="Z336" s="41">
        <f>V336*X336*Y336</f>
        <v>2738400</v>
      </c>
      <c r="AA336" s="41"/>
      <c r="AB336" s="41">
        <f t="shared" si="157"/>
        <v>0</v>
      </c>
      <c r="AC336" s="38"/>
      <c r="AD336" s="44">
        <f t="shared" si="189"/>
        <v>0</v>
      </c>
      <c r="AE336" s="41">
        <f t="shared" si="158"/>
        <v>5843400</v>
      </c>
      <c r="AF336" s="314"/>
      <c r="AG336" s="45"/>
      <c r="AH336" s="67"/>
      <c r="AI336" s="67"/>
      <c r="AJ336" s="67"/>
    </row>
    <row r="337" spans="1:36" s="68" customFormat="1" ht="48" customHeight="1">
      <c r="A337" s="308"/>
      <c r="B337" s="33" t="s">
        <v>425</v>
      </c>
      <c r="C337" s="72">
        <v>85</v>
      </c>
      <c r="D337" s="72">
        <v>4</v>
      </c>
      <c r="E337" s="73">
        <v>240</v>
      </c>
      <c r="F337" s="34">
        <v>153</v>
      </c>
      <c r="G337" s="34">
        <v>28</v>
      </c>
      <c r="H337" s="35">
        <v>114.3</v>
      </c>
      <c r="I337" s="34" t="s">
        <v>55</v>
      </c>
      <c r="J337" s="36" t="s">
        <v>60</v>
      </c>
      <c r="K337" s="37">
        <v>114.3</v>
      </c>
      <c r="L337" s="38">
        <f t="shared" ref="L337" si="193">H337-K337</f>
        <v>0</v>
      </c>
      <c r="M337" s="38"/>
      <c r="N337" s="38"/>
      <c r="O337" s="38"/>
      <c r="P337" s="39">
        <f t="shared" si="188"/>
        <v>114.3</v>
      </c>
      <c r="Q337" s="311"/>
      <c r="R337" s="40">
        <v>60000</v>
      </c>
      <c r="S337" s="41">
        <f>P337*R337</f>
        <v>6858000</v>
      </c>
      <c r="T337" s="41"/>
      <c r="U337" s="42" t="s">
        <v>421</v>
      </c>
      <c r="V337" s="66">
        <v>23</v>
      </c>
      <c r="W337" s="38" t="s">
        <v>52</v>
      </c>
      <c r="X337" s="41">
        <v>163000</v>
      </c>
      <c r="Y337" s="43">
        <v>0.8</v>
      </c>
      <c r="Z337" s="41">
        <f t="shared" si="156"/>
        <v>2999200</v>
      </c>
      <c r="AA337" s="41">
        <f>P337*10000</f>
        <v>1143000</v>
      </c>
      <c r="AB337" s="41">
        <f t="shared" si="157"/>
        <v>20574000</v>
      </c>
      <c r="AC337" s="38"/>
      <c r="AD337" s="44">
        <f t="shared" si="189"/>
        <v>0</v>
      </c>
      <c r="AE337" s="41">
        <f t="shared" si="158"/>
        <v>31574200</v>
      </c>
      <c r="AF337" s="314"/>
      <c r="AG337" s="45"/>
      <c r="AH337" s="67"/>
      <c r="AI337" s="67"/>
      <c r="AJ337" s="67"/>
    </row>
    <row r="338" spans="1:36" s="68" customFormat="1" ht="48" customHeight="1">
      <c r="A338" s="308"/>
      <c r="B338" s="33" t="s">
        <v>425</v>
      </c>
      <c r="C338" s="77"/>
      <c r="D338" s="77"/>
      <c r="E338" s="78"/>
      <c r="F338" s="320">
        <v>125</v>
      </c>
      <c r="G338" s="320">
        <v>28</v>
      </c>
      <c r="H338" s="328">
        <v>127.8</v>
      </c>
      <c r="I338" s="320" t="s">
        <v>55</v>
      </c>
      <c r="J338" s="322" t="s">
        <v>60</v>
      </c>
      <c r="K338" s="37"/>
      <c r="L338" s="38"/>
      <c r="M338" s="38"/>
      <c r="N338" s="38">
        <f>127.8-125.7</f>
        <v>2.0999999999999943</v>
      </c>
      <c r="O338" s="38"/>
      <c r="P338" s="39">
        <f t="shared" si="188"/>
        <v>2.0999999999999943</v>
      </c>
      <c r="Q338" s="311"/>
      <c r="R338" s="40"/>
      <c r="S338" s="41">
        <f t="shared" si="172"/>
        <v>0</v>
      </c>
      <c r="T338" s="41">
        <f>N338*30000</f>
        <v>62999.999999999833</v>
      </c>
      <c r="U338" s="42" t="s">
        <v>64</v>
      </c>
      <c r="V338" s="66">
        <v>2.1</v>
      </c>
      <c r="W338" s="38" t="s">
        <v>52</v>
      </c>
      <c r="X338" s="41">
        <v>9500</v>
      </c>
      <c r="Y338" s="43">
        <v>1</v>
      </c>
      <c r="Z338" s="41">
        <f>V338*X338*Y338</f>
        <v>19950</v>
      </c>
      <c r="AA338" s="41"/>
      <c r="AB338" s="41">
        <f t="shared" si="157"/>
        <v>0</v>
      </c>
      <c r="AC338" s="38"/>
      <c r="AD338" s="44">
        <f t="shared" si="189"/>
        <v>0</v>
      </c>
      <c r="AE338" s="41">
        <f t="shared" si="158"/>
        <v>82949.999999999825</v>
      </c>
      <c r="AF338" s="314"/>
      <c r="AG338" s="45"/>
      <c r="AH338" s="67"/>
      <c r="AI338" s="67"/>
      <c r="AJ338" s="67"/>
    </row>
    <row r="339" spans="1:36" s="68" customFormat="1" ht="48" customHeight="1">
      <c r="A339" s="308"/>
      <c r="B339" s="33" t="s">
        <v>425</v>
      </c>
      <c r="C339" s="77"/>
      <c r="D339" s="77"/>
      <c r="E339" s="78"/>
      <c r="F339" s="321"/>
      <c r="G339" s="321"/>
      <c r="H339" s="329"/>
      <c r="I339" s="321"/>
      <c r="J339" s="324"/>
      <c r="K339" s="37">
        <f>240-K337</f>
        <v>125.7</v>
      </c>
      <c r="L339" s="38"/>
      <c r="M339" s="38"/>
      <c r="N339" s="38"/>
      <c r="O339" s="38"/>
      <c r="P339" s="39">
        <f t="shared" si="188"/>
        <v>125.7</v>
      </c>
      <c r="Q339" s="311"/>
      <c r="R339" s="40">
        <v>60000</v>
      </c>
      <c r="S339" s="41">
        <f t="shared" ref="S339:S344" si="194">P339*R339</f>
        <v>7542000</v>
      </c>
      <c r="T339" s="41">
        <f>N339*30000</f>
        <v>0</v>
      </c>
      <c r="U339" s="42" t="s">
        <v>421</v>
      </c>
      <c r="V339" s="66">
        <v>25</v>
      </c>
      <c r="W339" s="38" t="s">
        <v>52</v>
      </c>
      <c r="X339" s="41">
        <v>163000</v>
      </c>
      <c r="Y339" s="43">
        <v>0.8</v>
      </c>
      <c r="Z339" s="41">
        <f t="shared" ref="Z339:Z402" si="195">V339*X339*Y339</f>
        <v>3260000</v>
      </c>
      <c r="AA339" s="41">
        <f t="shared" ref="AA339:AA344" si="196">P339*10000</f>
        <v>1257000</v>
      </c>
      <c r="AB339" s="41">
        <f t="shared" ref="AB339:AB384" si="197">P339*R339*3</f>
        <v>22626000</v>
      </c>
      <c r="AC339" s="38"/>
      <c r="AD339" s="44">
        <f t="shared" si="189"/>
        <v>0</v>
      </c>
      <c r="AE339" s="41">
        <f t="shared" ref="AE339:AE402" si="198">S339+Z339+AA339+AB339+AD339+T339</f>
        <v>34685000</v>
      </c>
      <c r="AF339" s="314"/>
      <c r="AG339" s="45"/>
      <c r="AH339" s="67"/>
      <c r="AI339" s="67"/>
      <c r="AJ339" s="67"/>
    </row>
    <row r="340" spans="1:36" s="68" customFormat="1" ht="48" customHeight="1">
      <c r="A340" s="308"/>
      <c r="B340" s="33" t="s">
        <v>425</v>
      </c>
      <c r="C340" s="72">
        <v>83</v>
      </c>
      <c r="D340" s="72">
        <v>4</v>
      </c>
      <c r="E340" s="73">
        <v>432</v>
      </c>
      <c r="F340" s="34">
        <v>195</v>
      </c>
      <c r="G340" s="34">
        <v>28</v>
      </c>
      <c r="H340" s="35">
        <v>349.5</v>
      </c>
      <c r="I340" s="34" t="s">
        <v>45</v>
      </c>
      <c r="J340" s="36" t="s">
        <v>60</v>
      </c>
      <c r="K340" s="37">
        <v>266.60000000000002</v>
      </c>
      <c r="L340" s="38"/>
      <c r="M340" s="38"/>
      <c r="N340" s="38"/>
      <c r="O340" s="38"/>
      <c r="P340" s="39">
        <f t="shared" si="188"/>
        <v>266.60000000000002</v>
      </c>
      <c r="Q340" s="311"/>
      <c r="R340" s="40">
        <v>60000</v>
      </c>
      <c r="S340" s="41">
        <f t="shared" si="194"/>
        <v>15996000.000000002</v>
      </c>
      <c r="T340" s="41"/>
      <c r="U340" s="42" t="s">
        <v>64</v>
      </c>
      <c r="V340" s="66">
        <f t="shared" si="192"/>
        <v>266.60000000000002</v>
      </c>
      <c r="W340" s="38" t="s">
        <v>48</v>
      </c>
      <c r="X340" s="41">
        <v>9500</v>
      </c>
      <c r="Y340" s="43">
        <v>1</v>
      </c>
      <c r="Z340" s="41">
        <f t="shared" si="195"/>
        <v>2532700</v>
      </c>
      <c r="AA340" s="41">
        <f t="shared" si="196"/>
        <v>2666000</v>
      </c>
      <c r="AB340" s="41">
        <f t="shared" si="197"/>
        <v>47988000.000000007</v>
      </c>
      <c r="AC340" s="38"/>
      <c r="AD340" s="44">
        <f t="shared" si="189"/>
        <v>0</v>
      </c>
      <c r="AE340" s="41">
        <f t="shared" si="198"/>
        <v>69182700</v>
      </c>
      <c r="AF340" s="314"/>
      <c r="AG340" s="45"/>
      <c r="AH340" s="67"/>
      <c r="AI340" s="67"/>
      <c r="AJ340" s="67"/>
    </row>
    <row r="341" spans="1:36" s="68" customFormat="1" ht="48" customHeight="1">
      <c r="A341" s="308"/>
      <c r="B341" s="33" t="s">
        <v>425</v>
      </c>
      <c r="C341" s="77"/>
      <c r="D341" s="77"/>
      <c r="E341" s="78"/>
      <c r="F341" s="34">
        <v>196</v>
      </c>
      <c r="G341" s="34">
        <v>28</v>
      </c>
      <c r="H341" s="35">
        <v>232.9</v>
      </c>
      <c r="I341" s="34" t="s">
        <v>45</v>
      </c>
      <c r="J341" s="36" t="s">
        <v>60</v>
      </c>
      <c r="K341" s="37">
        <f>432-266.6</f>
        <v>165.39999999999998</v>
      </c>
      <c r="L341" s="38">
        <f>179-K341</f>
        <v>13.600000000000023</v>
      </c>
      <c r="M341" s="38"/>
      <c r="N341" s="38"/>
      <c r="O341" s="38"/>
      <c r="P341" s="39">
        <f t="shared" si="188"/>
        <v>179</v>
      </c>
      <c r="Q341" s="311"/>
      <c r="R341" s="40">
        <v>60000</v>
      </c>
      <c r="S341" s="41">
        <f t="shared" si="194"/>
        <v>10740000</v>
      </c>
      <c r="T341" s="41"/>
      <c r="U341" s="42" t="s">
        <v>64</v>
      </c>
      <c r="V341" s="66">
        <f t="shared" si="192"/>
        <v>179</v>
      </c>
      <c r="W341" s="38" t="s">
        <v>48</v>
      </c>
      <c r="X341" s="41">
        <v>9500</v>
      </c>
      <c r="Y341" s="43">
        <v>1</v>
      </c>
      <c r="Z341" s="41">
        <f t="shared" si="195"/>
        <v>1700500</v>
      </c>
      <c r="AA341" s="41">
        <f t="shared" si="196"/>
        <v>1790000</v>
      </c>
      <c r="AB341" s="41">
        <f t="shared" si="197"/>
        <v>32220000</v>
      </c>
      <c r="AC341" s="38"/>
      <c r="AD341" s="44">
        <f t="shared" si="189"/>
        <v>0</v>
      </c>
      <c r="AE341" s="41">
        <f t="shared" si="198"/>
        <v>46450500</v>
      </c>
      <c r="AF341" s="314"/>
      <c r="AG341" s="45"/>
      <c r="AH341" s="67"/>
      <c r="AI341" s="67"/>
      <c r="AJ341" s="67"/>
    </row>
    <row r="342" spans="1:36" s="68" customFormat="1" ht="48" customHeight="1">
      <c r="A342" s="309"/>
      <c r="B342" s="33" t="s">
        <v>425</v>
      </c>
      <c r="C342" s="50">
        <v>1</v>
      </c>
      <c r="D342" s="50">
        <v>5</v>
      </c>
      <c r="E342" s="51">
        <v>72</v>
      </c>
      <c r="F342" s="34">
        <v>363</v>
      </c>
      <c r="G342" s="34">
        <v>28</v>
      </c>
      <c r="H342" s="35">
        <v>72.3</v>
      </c>
      <c r="I342" s="34" t="s">
        <v>49</v>
      </c>
      <c r="J342" s="36" t="s">
        <v>57</v>
      </c>
      <c r="K342" s="37">
        <f t="shared" si="174"/>
        <v>72</v>
      </c>
      <c r="L342" s="38">
        <f t="shared" si="178"/>
        <v>0.29999999999999716</v>
      </c>
      <c r="M342" s="38"/>
      <c r="N342" s="38"/>
      <c r="O342" s="38"/>
      <c r="P342" s="39">
        <f t="shared" si="188"/>
        <v>72.3</v>
      </c>
      <c r="Q342" s="312"/>
      <c r="R342" s="40">
        <v>60000</v>
      </c>
      <c r="S342" s="41">
        <f t="shared" si="194"/>
        <v>4338000</v>
      </c>
      <c r="T342" s="41"/>
      <c r="U342" s="42" t="s">
        <v>85</v>
      </c>
      <c r="V342" s="66">
        <f>P342</f>
        <v>72.3</v>
      </c>
      <c r="W342" s="38" t="s">
        <v>48</v>
      </c>
      <c r="X342" s="41">
        <v>43000</v>
      </c>
      <c r="Y342" s="43">
        <v>1</v>
      </c>
      <c r="Z342" s="41">
        <f t="shared" si="195"/>
        <v>3108900</v>
      </c>
      <c r="AA342" s="41">
        <f t="shared" si="196"/>
        <v>723000</v>
      </c>
      <c r="AB342" s="41">
        <f t="shared" si="197"/>
        <v>13014000</v>
      </c>
      <c r="AC342" s="38"/>
      <c r="AD342" s="44">
        <f t="shared" si="189"/>
        <v>0</v>
      </c>
      <c r="AE342" s="41">
        <f t="shared" si="198"/>
        <v>21183900</v>
      </c>
      <c r="AF342" s="315"/>
      <c r="AG342" s="45"/>
      <c r="AH342" s="67"/>
      <c r="AI342" s="67"/>
      <c r="AJ342" s="67"/>
    </row>
    <row r="343" spans="1:36" s="47" customFormat="1" ht="48" customHeight="1">
      <c r="A343" s="307">
        <v>86</v>
      </c>
      <c r="B343" s="33" t="s">
        <v>426</v>
      </c>
      <c r="C343" s="50"/>
      <c r="D343" s="50"/>
      <c r="E343" s="51"/>
      <c r="F343" s="34">
        <v>175</v>
      </c>
      <c r="G343" s="34">
        <v>21</v>
      </c>
      <c r="H343" s="35">
        <v>135.4</v>
      </c>
      <c r="I343" s="34" t="s">
        <v>45</v>
      </c>
      <c r="J343" s="36" t="s">
        <v>260</v>
      </c>
      <c r="K343" s="37"/>
      <c r="L343" s="38">
        <v>135.4</v>
      </c>
      <c r="M343" s="38"/>
      <c r="N343" s="38"/>
      <c r="O343" s="38"/>
      <c r="P343" s="39">
        <f t="shared" si="188"/>
        <v>135.4</v>
      </c>
      <c r="Q343" s="310">
        <f>SUM(P343:P351)</f>
        <v>1398.3999999999999</v>
      </c>
      <c r="R343" s="40">
        <v>60000</v>
      </c>
      <c r="S343" s="41">
        <f t="shared" si="194"/>
        <v>8124000</v>
      </c>
      <c r="T343" s="41"/>
      <c r="U343" s="42" t="s">
        <v>64</v>
      </c>
      <c r="V343" s="66">
        <f t="shared" ref="V343:V344" si="199">P343</f>
        <v>135.4</v>
      </c>
      <c r="W343" s="38" t="s">
        <v>48</v>
      </c>
      <c r="X343" s="41">
        <v>9500</v>
      </c>
      <c r="Y343" s="43">
        <v>1</v>
      </c>
      <c r="Z343" s="41">
        <f t="shared" si="195"/>
        <v>1286300</v>
      </c>
      <c r="AA343" s="41">
        <f t="shared" si="196"/>
        <v>1354000</v>
      </c>
      <c r="AB343" s="41">
        <f t="shared" si="197"/>
        <v>24372000</v>
      </c>
      <c r="AC343" s="38">
        <v>3</v>
      </c>
      <c r="AD343" s="44">
        <f t="shared" si="189"/>
        <v>10500000</v>
      </c>
      <c r="AE343" s="41">
        <f t="shared" si="198"/>
        <v>45636300</v>
      </c>
      <c r="AF343" s="313">
        <f>SUM(AE343:AE352)</f>
        <v>375704650</v>
      </c>
      <c r="AG343" s="45"/>
      <c r="AH343" s="46"/>
      <c r="AI343" s="46"/>
      <c r="AJ343" s="46"/>
    </row>
    <row r="344" spans="1:36" s="47" customFormat="1" ht="48" customHeight="1">
      <c r="A344" s="308"/>
      <c r="B344" s="33" t="s">
        <v>426</v>
      </c>
      <c r="C344" s="50">
        <v>191</v>
      </c>
      <c r="D344" s="50">
        <v>5</v>
      </c>
      <c r="E344" s="51">
        <v>96</v>
      </c>
      <c r="F344" s="34">
        <v>278</v>
      </c>
      <c r="G344" s="34">
        <v>28</v>
      </c>
      <c r="H344" s="35">
        <v>138.1</v>
      </c>
      <c r="I344" s="34" t="s">
        <v>45</v>
      </c>
      <c r="J344" s="36" t="s">
        <v>109</v>
      </c>
      <c r="K344" s="37">
        <f t="shared" ref="K344" si="200">E344</f>
        <v>96</v>
      </c>
      <c r="L344" s="38">
        <f t="shared" ref="L344" si="201">H344-K344</f>
        <v>42.099999999999994</v>
      </c>
      <c r="M344" s="38"/>
      <c r="N344" s="38"/>
      <c r="O344" s="38"/>
      <c r="P344" s="39">
        <f t="shared" si="188"/>
        <v>138.1</v>
      </c>
      <c r="Q344" s="311"/>
      <c r="R344" s="40">
        <v>60000</v>
      </c>
      <c r="S344" s="41">
        <f t="shared" si="194"/>
        <v>8286000</v>
      </c>
      <c r="T344" s="41"/>
      <c r="U344" s="42" t="s">
        <v>64</v>
      </c>
      <c r="V344" s="66">
        <f t="shared" si="199"/>
        <v>138.1</v>
      </c>
      <c r="W344" s="38" t="s">
        <v>48</v>
      </c>
      <c r="X344" s="41">
        <v>9500</v>
      </c>
      <c r="Y344" s="43">
        <v>1</v>
      </c>
      <c r="Z344" s="41">
        <f t="shared" si="195"/>
        <v>1311950</v>
      </c>
      <c r="AA344" s="41">
        <f t="shared" si="196"/>
        <v>1381000</v>
      </c>
      <c r="AB344" s="41">
        <f t="shared" si="197"/>
        <v>24858000</v>
      </c>
      <c r="AC344" s="38"/>
      <c r="AD344" s="44">
        <f t="shared" si="189"/>
        <v>0</v>
      </c>
      <c r="AE344" s="41">
        <f t="shared" si="198"/>
        <v>35836950</v>
      </c>
      <c r="AF344" s="314"/>
      <c r="AG344" s="45"/>
      <c r="AH344" s="46"/>
      <c r="AI344" s="46"/>
      <c r="AJ344" s="46"/>
    </row>
    <row r="345" spans="1:36" s="47" customFormat="1" ht="48" customHeight="1">
      <c r="A345" s="308"/>
      <c r="B345" s="33" t="s">
        <v>426</v>
      </c>
      <c r="C345" s="50"/>
      <c r="D345" s="50"/>
      <c r="E345" s="51"/>
      <c r="F345" s="34">
        <v>278</v>
      </c>
      <c r="G345" s="34">
        <v>28</v>
      </c>
      <c r="H345" s="35">
        <v>138.1</v>
      </c>
      <c r="I345" s="34" t="s">
        <v>45</v>
      </c>
      <c r="J345" s="36" t="s">
        <v>109</v>
      </c>
      <c r="K345" s="37"/>
      <c r="L345" s="38"/>
      <c r="M345" s="38"/>
      <c r="N345" s="38"/>
      <c r="O345" s="38"/>
      <c r="P345" s="39">
        <f t="shared" si="188"/>
        <v>0</v>
      </c>
      <c r="Q345" s="311"/>
      <c r="R345" s="40"/>
      <c r="S345" s="41">
        <f t="shared" ref="S345:S402" si="202">P345*R345</f>
        <v>0</v>
      </c>
      <c r="T345" s="41"/>
      <c r="U345" s="42" t="s">
        <v>173</v>
      </c>
      <c r="V345" s="66"/>
      <c r="W345" s="38" t="s">
        <v>48</v>
      </c>
      <c r="X345" s="41"/>
      <c r="Y345" s="43">
        <v>0</v>
      </c>
      <c r="Z345" s="41">
        <f t="shared" si="195"/>
        <v>0</v>
      </c>
      <c r="AA345" s="41">
        <f t="shared" ref="AA345:AA360" si="203">P345*10000</f>
        <v>0</v>
      </c>
      <c r="AB345" s="41">
        <f t="shared" si="197"/>
        <v>0</v>
      </c>
      <c r="AC345" s="38"/>
      <c r="AD345" s="44">
        <f t="shared" si="189"/>
        <v>0</v>
      </c>
      <c r="AE345" s="41">
        <f t="shared" si="198"/>
        <v>0</v>
      </c>
      <c r="AF345" s="314"/>
      <c r="AG345" s="45" t="s">
        <v>174</v>
      </c>
      <c r="AH345" s="46"/>
      <c r="AI345" s="46"/>
      <c r="AJ345" s="46"/>
    </row>
    <row r="346" spans="1:36" s="47" customFormat="1" ht="54.75" customHeight="1">
      <c r="A346" s="308"/>
      <c r="B346" s="33" t="s">
        <v>426</v>
      </c>
      <c r="C346" s="72">
        <v>188</v>
      </c>
      <c r="D346" s="72">
        <v>5</v>
      </c>
      <c r="E346" s="73">
        <v>144</v>
      </c>
      <c r="F346" s="34">
        <v>298</v>
      </c>
      <c r="G346" s="34">
        <v>28</v>
      </c>
      <c r="H346" s="35">
        <v>107.9</v>
      </c>
      <c r="I346" s="34" t="s">
        <v>49</v>
      </c>
      <c r="J346" s="36" t="s">
        <v>111</v>
      </c>
      <c r="K346" s="37">
        <v>107.9</v>
      </c>
      <c r="L346" s="38"/>
      <c r="M346" s="38"/>
      <c r="N346" s="38"/>
      <c r="O346" s="38"/>
      <c r="P346" s="39">
        <f t="shared" si="188"/>
        <v>107.9</v>
      </c>
      <c r="Q346" s="311"/>
      <c r="R346" s="40">
        <v>60000</v>
      </c>
      <c r="S346" s="41">
        <f t="shared" si="202"/>
        <v>6474000</v>
      </c>
      <c r="T346" s="41"/>
      <c r="U346" s="42" t="s">
        <v>58</v>
      </c>
      <c r="V346" s="66">
        <f>P346</f>
        <v>107.9</v>
      </c>
      <c r="W346" s="38" t="s">
        <v>48</v>
      </c>
      <c r="X346" s="41">
        <v>31000</v>
      </c>
      <c r="Y346" s="43">
        <v>1</v>
      </c>
      <c r="Z346" s="41">
        <f t="shared" si="195"/>
        <v>3344900</v>
      </c>
      <c r="AA346" s="41">
        <f t="shared" si="203"/>
        <v>1079000</v>
      </c>
      <c r="AB346" s="41">
        <f t="shared" si="197"/>
        <v>19422000</v>
      </c>
      <c r="AC346" s="38"/>
      <c r="AD346" s="44">
        <f t="shared" si="189"/>
        <v>0</v>
      </c>
      <c r="AE346" s="41">
        <f t="shared" si="198"/>
        <v>30319900</v>
      </c>
      <c r="AF346" s="314"/>
      <c r="AG346" s="45"/>
      <c r="AH346" s="46"/>
      <c r="AI346" s="46"/>
      <c r="AJ346" s="46"/>
    </row>
    <row r="347" spans="1:36" s="47" customFormat="1" ht="54.75" customHeight="1">
      <c r="A347" s="308"/>
      <c r="B347" s="33" t="s">
        <v>426</v>
      </c>
      <c r="C347" s="77"/>
      <c r="D347" s="77"/>
      <c r="E347" s="78"/>
      <c r="F347" s="34">
        <v>353</v>
      </c>
      <c r="G347" s="34">
        <v>28</v>
      </c>
      <c r="H347" s="35">
        <v>125.2</v>
      </c>
      <c r="I347" s="34" t="s">
        <v>49</v>
      </c>
      <c r="J347" s="36" t="s">
        <v>111</v>
      </c>
      <c r="K347" s="37">
        <f>144-107.9</f>
        <v>36.099999999999994</v>
      </c>
      <c r="L347" s="38">
        <f t="shared" si="178"/>
        <v>89.100000000000009</v>
      </c>
      <c r="M347" s="38"/>
      <c r="N347" s="38"/>
      <c r="O347" s="38"/>
      <c r="P347" s="39">
        <f t="shared" si="188"/>
        <v>125.2</v>
      </c>
      <c r="Q347" s="311"/>
      <c r="R347" s="40">
        <v>60000</v>
      </c>
      <c r="S347" s="41">
        <f t="shared" si="202"/>
        <v>7512000</v>
      </c>
      <c r="T347" s="41"/>
      <c r="U347" s="42" t="s">
        <v>123</v>
      </c>
      <c r="V347" s="66">
        <f t="shared" ref="V347" si="204">P347</f>
        <v>125.2</v>
      </c>
      <c r="W347" s="38" t="s">
        <v>48</v>
      </c>
      <c r="X347" s="41">
        <v>9500</v>
      </c>
      <c r="Y347" s="43">
        <v>1</v>
      </c>
      <c r="Z347" s="41">
        <f t="shared" si="195"/>
        <v>1189400</v>
      </c>
      <c r="AA347" s="41">
        <f t="shared" si="203"/>
        <v>1252000</v>
      </c>
      <c r="AB347" s="41">
        <f t="shared" si="197"/>
        <v>22536000</v>
      </c>
      <c r="AC347" s="38"/>
      <c r="AD347" s="44">
        <f t="shared" si="189"/>
        <v>0</v>
      </c>
      <c r="AE347" s="41">
        <f t="shared" si="198"/>
        <v>32489400</v>
      </c>
      <c r="AF347" s="314"/>
      <c r="AG347" s="45"/>
      <c r="AH347" s="46"/>
      <c r="AI347" s="46"/>
      <c r="AJ347" s="46"/>
    </row>
    <row r="348" spans="1:36" s="47" customFormat="1" ht="54.75" customHeight="1">
      <c r="A348" s="308"/>
      <c r="B348" s="33" t="s">
        <v>426</v>
      </c>
      <c r="C348" s="77"/>
      <c r="D348" s="77"/>
      <c r="E348" s="78"/>
      <c r="F348" s="34">
        <v>353</v>
      </c>
      <c r="G348" s="34">
        <v>28</v>
      </c>
      <c r="H348" s="35">
        <v>125.2</v>
      </c>
      <c r="I348" s="34" t="s">
        <v>49</v>
      </c>
      <c r="J348" s="36" t="s">
        <v>111</v>
      </c>
      <c r="K348" s="37"/>
      <c r="L348" s="38"/>
      <c r="M348" s="38"/>
      <c r="N348" s="38"/>
      <c r="O348" s="38"/>
      <c r="P348" s="39">
        <f t="shared" si="188"/>
        <v>0</v>
      </c>
      <c r="Q348" s="311"/>
      <c r="R348" s="40"/>
      <c r="S348" s="41"/>
      <c r="T348" s="41"/>
      <c r="U348" s="42" t="s">
        <v>173</v>
      </c>
      <c r="V348" s="66"/>
      <c r="W348" s="38" t="s">
        <v>48</v>
      </c>
      <c r="X348" s="41"/>
      <c r="Y348" s="43">
        <v>0</v>
      </c>
      <c r="Z348" s="41">
        <f t="shared" si="195"/>
        <v>0</v>
      </c>
      <c r="AA348" s="41">
        <f t="shared" si="203"/>
        <v>0</v>
      </c>
      <c r="AB348" s="41">
        <f t="shared" si="197"/>
        <v>0</v>
      </c>
      <c r="AC348" s="38"/>
      <c r="AD348" s="44">
        <f t="shared" si="189"/>
        <v>0</v>
      </c>
      <c r="AE348" s="41">
        <f t="shared" si="198"/>
        <v>0</v>
      </c>
      <c r="AF348" s="314"/>
      <c r="AG348" s="45" t="s">
        <v>174</v>
      </c>
      <c r="AH348" s="46"/>
      <c r="AI348" s="46"/>
      <c r="AJ348" s="46"/>
    </row>
    <row r="349" spans="1:36" s="47" customFormat="1" ht="54.75" customHeight="1">
      <c r="A349" s="308"/>
      <c r="B349" s="33" t="s">
        <v>426</v>
      </c>
      <c r="C349" s="50">
        <v>104</v>
      </c>
      <c r="D349" s="50">
        <v>5</v>
      </c>
      <c r="E349" s="51">
        <v>576</v>
      </c>
      <c r="F349" s="34">
        <v>377</v>
      </c>
      <c r="G349" s="34">
        <v>28</v>
      </c>
      <c r="H349" s="35">
        <v>675.3</v>
      </c>
      <c r="I349" s="34" t="s">
        <v>49</v>
      </c>
      <c r="J349" s="36" t="s">
        <v>427</v>
      </c>
      <c r="K349" s="37">
        <f t="shared" ref="K349" si="205">E349</f>
        <v>576</v>
      </c>
      <c r="L349" s="38">
        <f t="shared" si="178"/>
        <v>99.299999999999955</v>
      </c>
      <c r="M349" s="38"/>
      <c r="N349" s="38"/>
      <c r="O349" s="38"/>
      <c r="P349" s="39">
        <f t="shared" si="188"/>
        <v>675.3</v>
      </c>
      <c r="Q349" s="311"/>
      <c r="R349" s="40">
        <v>60000</v>
      </c>
      <c r="S349" s="41">
        <f>P349*R349</f>
        <v>40518000</v>
      </c>
      <c r="T349" s="41"/>
      <c r="U349" s="42" t="s">
        <v>47</v>
      </c>
      <c r="V349" s="66">
        <f t="shared" ref="V349" si="206">P349</f>
        <v>675.3</v>
      </c>
      <c r="W349" s="38" t="s">
        <v>48</v>
      </c>
      <c r="X349" s="41">
        <v>9500</v>
      </c>
      <c r="Y349" s="43">
        <v>1</v>
      </c>
      <c r="Z349" s="41">
        <f t="shared" si="195"/>
        <v>6415350</v>
      </c>
      <c r="AA349" s="41">
        <f>P349*10000</f>
        <v>6753000</v>
      </c>
      <c r="AB349" s="41">
        <f t="shared" si="197"/>
        <v>121554000</v>
      </c>
      <c r="AC349" s="38"/>
      <c r="AD349" s="44">
        <f t="shared" si="189"/>
        <v>0</v>
      </c>
      <c r="AE349" s="41">
        <f t="shared" si="198"/>
        <v>175240350</v>
      </c>
      <c r="AF349" s="314"/>
      <c r="AG349" s="45"/>
      <c r="AH349" s="46"/>
      <c r="AI349" s="46"/>
      <c r="AJ349" s="46"/>
    </row>
    <row r="350" spans="1:36" s="47" customFormat="1" ht="54.75" customHeight="1">
      <c r="A350" s="308"/>
      <c r="B350" s="33" t="s">
        <v>426</v>
      </c>
      <c r="C350" s="50"/>
      <c r="D350" s="50"/>
      <c r="E350" s="51"/>
      <c r="F350" s="34">
        <v>377</v>
      </c>
      <c r="G350" s="34">
        <v>28</v>
      </c>
      <c r="H350" s="35">
        <v>675.3</v>
      </c>
      <c r="I350" s="34" t="s">
        <v>49</v>
      </c>
      <c r="J350" s="36" t="s">
        <v>427</v>
      </c>
      <c r="K350" s="37"/>
      <c r="L350" s="38"/>
      <c r="M350" s="38"/>
      <c r="N350" s="38"/>
      <c r="O350" s="38"/>
      <c r="P350" s="39">
        <f t="shared" si="188"/>
        <v>0</v>
      </c>
      <c r="Q350" s="311"/>
      <c r="R350" s="40"/>
      <c r="S350" s="41"/>
      <c r="T350" s="41"/>
      <c r="U350" s="42" t="s">
        <v>173</v>
      </c>
      <c r="V350" s="60">
        <v>30</v>
      </c>
      <c r="W350" s="38" t="s">
        <v>428</v>
      </c>
      <c r="X350" s="41"/>
      <c r="Y350" s="43">
        <v>0</v>
      </c>
      <c r="Z350" s="41">
        <f t="shared" si="195"/>
        <v>0</v>
      </c>
      <c r="AA350" s="41">
        <f t="shared" si="203"/>
        <v>0</v>
      </c>
      <c r="AB350" s="41">
        <f t="shared" si="197"/>
        <v>0</v>
      </c>
      <c r="AC350" s="38"/>
      <c r="AD350" s="44">
        <f t="shared" si="189"/>
        <v>0</v>
      </c>
      <c r="AE350" s="41">
        <f t="shared" si="198"/>
        <v>0</v>
      </c>
      <c r="AF350" s="314"/>
      <c r="AG350" s="45" t="s">
        <v>174</v>
      </c>
      <c r="AH350" s="46"/>
      <c r="AI350" s="46"/>
      <c r="AJ350" s="46"/>
    </row>
    <row r="351" spans="1:36" s="47" customFormat="1" ht="54.75" customHeight="1">
      <c r="A351" s="308"/>
      <c r="B351" s="33" t="s">
        <v>426</v>
      </c>
      <c r="C351" s="50">
        <v>184</v>
      </c>
      <c r="D351" s="50">
        <v>5</v>
      </c>
      <c r="E351" s="51">
        <v>204</v>
      </c>
      <c r="F351" s="34">
        <v>382</v>
      </c>
      <c r="G351" s="34">
        <v>28</v>
      </c>
      <c r="H351" s="35">
        <v>216.5</v>
      </c>
      <c r="I351" s="34" t="s">
        <v>49</v>
      </c>
      <c r="J351" s="36" t="s">
        <v>111</v>
      </c>
      <c r="K351" s="37">
        <f t="shared" si="174"/>
        <v>204</v>
      </c>
      <c r="L351" s="38">
        <f t="shared" si="178"/>
        <v>12.5</v>
      </c>
      <c r="M351" s="38"/>
      <c r="N351" s="38"/>
      <c r="O351" s="38"/>
      <c r="P351" s="39">
        <f t="shared" si="188"/>
        <v>216.5</v>
      </c>
      <c r="Q351" s="311"/>
      <c r="R351" s="40">
        <v>60000</v>
      </c>
      <c r="S351" s="41">
        <f>P351*R351</f>
        <v>12990000</v>
      </c>
      <c r="T351" s="41"/>
      <c r="U351" s="42" t="s">
        <v>123</v>
      </c>
      <c r="V351" s="66">
        <f>P351</f>
        <v>216.5</v>
      </c>
      <c r="W351" s="38" t="s">
        <v>232</v>
      </c>
      <c r="X351" s="41">
        <v>9500</v>
      </c>
      <c r="Y351" s="43">
        <v>1</v>
      </c>
      <c r="Z351" s="41">
        <f t="shared" si="195"/>
        <v>2056750</v>
      </c>
      <c r="AA351" s="41">
        <f>P351*10000</f>
        <v>2165000</v>
      </c>
      <c r="AB351" s="41">
        <f t="shared" si="197"/>
        <v>38970000</v>
      </c>
      <c r="AC351" s="38"/>
      <c r="AD351" s="44">
        <f t="shared" si="189"/>
        <v>0</v>
      </c>
      <c r="AE351" s="41">
        <f t="shared" si="198"/>
        <v>56181750</v>
      </c>
      <c r="AF351" s="314"/>
      <c r="AG351" s="45"/>
      <c r="AH351" s="46"/>
      <c r="AI351" s="46"/>
      <c r="AJ351" s="46"/>
    </row>
    <row r="352" spans="1:36" s="47" customFormat="1" ht="54.75" customHeight="1">
      <c r="A352" s="309"/>
      <c r="B352" s="33" t="s">
        <v>426</v>
      </c>
      <c r="C352" s="50"/>
      <c r="D352" s="50"/>
      <c r="E352" s="51"/>
      <c r="F352" s="34">
        <v>382</v>
      </c>
      <c r="G352" s="34">
        <v>28</v>
      </c>
      <c r="H352" s="35">
        <v>216.5</v>
      </c>
      <c r="I352" s="34" t="s">
        <v>49</v>
      </c>
      <c r="J352" s="36" t="s">
        <v>111</v>
      </c>
      <c r="K352" s="37"/>
      <c r="L352" s="38"/>
      <c r="M352" s="38"/>
      <c r="N352" s="38"/>
      <c r="O352" s="38"/>
      <c r="P352" s="39">
        <f t="shared" si="188"/>
        <v>0</v>
      </c>
      <c r="Q352" s="312"/>
      <c r="R352" s="40"/>
      <c r="S352" s="41"/>
      <c r="T352" s="41"/>
      <c r="U352" s="42" t="s">
        <v>173</v>
      </c>
      <c r="V352" s="60">
        <v>50</v>
      </c>
      <c r="W352" s="38" t="s">
        <v>428</v>
      </c>
      <c r="X352" s="41"/>
      <c r="Y352" s="43">
        <v>0</v>
      </c>
      <c r="Z352" s="41">
        <f t="shared" si="195"/>
        <v>0</v>
      </c>
      <c r="AA352" s="41">
        <f t="shared" si="203"/>
        <v>0</v>
      </c>
      <c r="AB352" s="41">
        <f t="shared" si="197"/>
        <v>0</v>
      </c>
      <c r="AC352" s="38"/>
      <c r="AD352" s="44">
        <f t="shared" si="189"/>
        <v>0</v>
      </c>
      <c r="AE352" s="41">
        <f t="shared" si="198"/>
        <v>0</v>
      </c>
      <c r="AF352" s="315"/>
      <c r="AG352" s="45" t="s">
        <v>174</v>
      </c>
      <c r="AH352" s="46"/>
      <c r="AI352" s="46"/>
      <c r="AJ352" s="46"/>
    </row>
    <row r="353" spans="1:36" s="47" customFormat="1" ht="48" customHeight="1">
      <c r="A353" s="307">
        <v>87</v>
      </c>
      <c r="B353" s="33" t="s">
        <v>429</v>
      </c>
      <c r="C353" s="50">
        <v>81</v>
      </c>
      <c r="D353" s="50">
        <v>4</v>
      </c>
      <c r="E353" s="51">
        <v>600</v>
      </c>
      <c r="F353" s="34">
        <v>228</v>
      </c>
      <c r="G353" s="34">
        <v>28</v>
      </c>
      <c r="H353" s="35">
        <v>687.8</v>
      </c>
      <c r="I353" s="34" t="s">
        <v>45</v>
      </c>
      <c r="J353" s="36" t="s">
        <v>46</v>
      </c>
      <c r="K353" s="37">
        <f t="shared" ref="K353" si="207">E353</f>
        <v>600</v>
      </c>
      <c r="L353" s="38">
        <f t="shared" ref="L353" si="208">H353-K353</f>
        <v>87.799999999999955</v>
      </c>
      <c r="M353" s="38"/>
      <c r="N353" s="38"/>
      <c r="O353" s="38"/>
      <c r="P353" s="39">
        <f t="shared" si="188"/>
        <v>687.8</v>
      </c>
      <c r="Q353" s="310">
        <f>SUM(P353:P361)</f>
        <v>1510.1000000000001</v>
      </c>
      <c r="R353" s="40">
        <v>60000</v>
      </c>
      <c r="S353" s="41">
        <f>P353*R353</f>
        <v>41268000</v>
      </c>
      <c r="T353" s="41"/>
      <c r="U353" s="42" t="s">
        <v>123</v>
      </c>
      <c r="V353" s="66">
        <f t="shared" ref="V353:V356" si="209">P353</f>
        <v>687.8</v>
      </c>
      <c r="W353" s="38" t="s">
        <v>48</v>
      </c>
      <c r="X353" s="41">
        <v>9500</v>
      </c>
      <c r="Y353" s="43">
        <v>1</v>
      </c>
      <c r="Z353" s="41">
        <f t="shared" si="195"/>
        <v>6534100</v>
      </c>
      <c r="AA353" s="41">
        <f>P353*10000</f>
        <v>6878000</v>
      </c>
      <c r="AB353" s="41">
        <f t="shared" si="197"/>
        <v>123804000</v>
      </c>
      <c r="AC353" s="38">
        <v>3</v>
      </c>
      <c r="AD353" s="44">
        <f t="shared" si="189"/>
        <v>10500000</v>
      </c>
      <c r="AE353" s="41">
        <f t="shared" si="198"/>
        <v>188984100</v>
      </c>
      <c r="AF353" s="313">
        <f>SUM(AE353:AE361)</f>
        <v>422299850</v>
      </c>
      <c r="AG353" s="56">
        <f>AE353-AD353</f>
        <v>178484100</v>
      </c>
      <c r="AH353" s="46"/>
      <c r="AI353" s="46"/>
      <c r="AJ353" s="46"/>
    </row>
    <row r="354" spans="1:36" s="47" customFormat="1" ht="48" customHeight="1">
      <c r="A354" s="308"/>
      <c r="B354" s="33" t="s">
        <v>429</v>
      </c>
      <c r="C354" s="50"/>
      <c r="D354" s="50"/>
      <c r="E354" s="51"/>
      <c r="F354" s="34">
        <v>228</v>
      </c>
      <c r="G354" s="34">
        <v>28</v>
      </c>
      <c r="H354" s="35">
        <v>687.8</v>
      </c>
      <c r="I354" s="34" t="s">
        <v>45</v>
      </c>
      <c r="J354" s="36" t="s">
        <v>46</v>
      </c>
      <c r="K354" s="37"/>
      <c r="L354" s="38"/>
      <c r="M354" s="38"/>
      <c r="N354" s="38"/>
      <c r="O354" s="38"/>
      <c r="P354" s="39">
        <f t="shared" si="188"/>
        <v>0</v>
      </c>
      <c r="Q354" s="311"/>
      <c r="R354" s="40"/>
      <c r="S354" s="41">
        <f t="shared" ref="S354:S356" si="210">P354*R354</f>
        <v>0</v>
      </c>
      <c r="T354" s="41"/>
      <c r="U354" s="42" t="s">
        <v>173</v>
      </c>
      <c r="V354" s="66">
        <f t="shared" si="209"/>
        <v>0</v>
      </c>
      <c r="W354" s="38" t="s">
        <v>48</v>
      </c>
      <c r="X354" s="41"/>
      <c r="Y354" s="43">
        <v>0</v>
      </c>
      <c r="Z354" s="41">
        <f t="shared" si="195"/>
        <v>0</v>
      </c>
      <c r="AA354" s="41">
        <f t="shared" si="203"/>
        <v>0</v>
      </c>
      <c r="AB354" s="41">
        <f t="shared" si="197"/>
        <v>0</v>
      </c>
      <c r="AC354" s="38"/>
      <c r="AD354" s="44">
        <f t="shared" si="189"/>
        <v>0</v>
      </c>
      <c r="AE354" s="41">
        <f t="shared" si="198"/>
        <v>0</v>
      </c>
      <c r="AF354" s="314"/>
      <c r="AG354" s="45" t="s">
        <v>174</v>
      </c>
      <c r="AH354" s="46"/>
      <c r="AI354" s="46"/>
      <c r="AJ354" s="46"/>
    </row>
    <row r="355" spans="1:36" s="47" customFormat="1" ht="48" customHeight="1">
      <c r="A355" s="308"/>
      <c r="B355" s="33" t="s">
        <v>429</v>
      </c>
      <c r="C355" s="322">
        <v>266</v>
      </c>
      <c r="D355" s="322">
        <v>4</v>
      </c>
      <c r="E355" s="325">
        <v>288</v>
      </c>
      <c r="F355" s="34">
        <v>453</v>
      </c>
      <c r="G355" s="34">
        <v>28</v>
      </c>
      <c r="H355" s="35">
        <v>172</v>
      </c>
      <c r="I355" s="34" t="s">
        <v>49</v>
      </c>
      <c r="J355" s="36" t="s">
        <v>410</v>
      </c>
      <c r="K355" s="37">
        <v>172</v>
      </c>
      <c r="L355" s="38">
        <f t="shared" ref="L355" si="211">H355-K355</f>
        <v>0</v>
      </c>
      <c r="M355" s="38"/>
      <c r="N355" s="38"/>
      <c r="O355" s="38"/>
      <c r="P355" s="39">
        <f t="shared" si="188"/>
        <v>172</v>
      </c>
      <c r="Q355" s="311"/>
      <c r="R355" s="40">
        <v>60000</v>
      </c>
      <c r="S355" s="41">
        <f>P355*R355</f>
        <v>10320000</v>
      </c>
      <c r="T355" s="41"/>
      <c r="U355" s="42" t="s">
        <v>123</v>
      </c>
      <c r="V355" s="66">
        <f t="shared" si="209"/>
        <v>172</v>
      </c>
      <c r="W355" s="38" t="s">
        <v>48</v>
      </c>
      <c r="X355" s="41">
        <v>9500</v>
      </c>
      <c r="Y355" s="43">
        <v>1</v>
      </c>
      <c r="Z355" s="41">
        <f t="shared" si="195"/>
        <v>1634000</v>
      </c>
      <c r="AA355" s="41">
        <f>P355*10000</f>
        <v>1720000</v>
      </c>
      <c r="AB355" s="41">
        <f t="shared" si="197"/>
        <v>30960000</v>
      </c>
      <c r="AC355" s="38"/>
      <c r="AD355" s="44">
        <f t="shared" si="189"/>
        <v>0</v>
      </c>
      <c r="AE355" s="41">
        <f t="shared" si="198"/>
        <v>44634000</v>
      </c>
      <c r="AF355" s="314"/>
      <c r="AG355" s="81">
        <f>Q353*40000</f>
        <v>60404000.000000007</v>
      </c>
      <c r="AH355" s="46"/>
      <c r="AI355" s="46"/>
      <c r="AJ355" s="46"/>
    </row>
    <row r="356" spans="1:36" s="47" customFormat="1" ht="48" customHeight="1">
      <c r="A356" s="308"/>
      <c r="B356" s="33" t="s">
        <v>429</v>
      </c>
      <c r="C356" s="323"/>
      <c r="D356" s="323"/>
      <c r="E356" s="326"/>
      <c r="F356" s="34">
        <v>453</v>
      </c>
      <c r="G356" s="34">
        <v>28</v>
      </c>
      <c r="H356" s="35">
        <v>172</v>
      </c>
      <c r="I356" s="34" t="s">
        <v>49</v>
      </c>
      <c r="J356" s="36" t="s">
        <v>410</v>
      </c>
      <c r="K356" s="37"/>
      <c r="L356" s="38"/>
      <c r="M356" s="38"/>
      <c r="N356" s="38"/>
      <c r="O356" s="38"/>
      <c r="P356" s="39">
        <f t="shared" si="188"/>
        <v>0</v>
      </c>
      <c r="Q356" s="311"/>
      <c r="R356" s="40"/>
      <c r="S356" s="41">
        <f t="shared" si="210"/>
        <v>0</v>
      </c>
      <c r="T356" s="41"/>
      <c r="U356" s="42" t="s">
        <v>173</v>
      </c>
      <c r="V356" s="66">
        <f t="shared" si="209"/>
        <v>0</v>
      </c>
      <c r="W356" s="38" t="s">
        <v>48</v>
      </c>
      <c r="X356" s="41"/>
      <c r="Y356" s="43">
        <v>0</v>
      </c>
      <c r="Z356" s="41">
        <f t="shared" si="195"/>
        <v>0</v>
      </c>
      <c r="AA356" s="41">
        <f t="shared" si="203"/>
        <v>0</v>
      </c>
      <c r="AB356" s="41">
        <f t="shared" si="197"/>
        <v>0</v>
      </c>
      <c r="AC356" s="38"/>
      <c r="AD356" s="44">
        <f t="shared" si="189"/>
        <v>0</v>
      </c>
      <c r="AE356" s="41">
        <f t="shared" si="198"/>
        <v>0</v>
      </c>
      <c r="AF356" s="314"/>
      <c r="AG356" s="45" t="s">
        <v>174</v>
      </c>
      <c r="AH356" s="46"/>
      <c r="AI356" s="46"/>
      <c r="AJ356" s="46"/>
    </row>
    <row r="357" spans="1:36" s="47" customFormat="1" ht="48" customHeight="1">
      <c r="A357" s="308"/>
      <c r="B357" s="33" t="s">
        <v>429</v>
      </c>
      <c r="C357" s="323"/>
      <c r="D357" s="323"/>
      <c r="E357" s="326"/>
      <c r="F357" s="34">
        <v>452</v>
      </c>
      <c r="G357" s="34">
        <v>28</v>
      </c>
      <c r="H357" s="35">
        <v>102.2</v>
      </c>
      <c r="I357" s="34" t="s">
        <v>49</v>
      </c>
      <c r="J357" s="36" t="s">
        <v>410</v>
      </c>
      <c r="K357" s="37">
        <v>102.2</v>
      </c>
      <c r="L357" s="38">
        <f t="shared" ref="L357" si="212">H357-K357</f>
        <v>0</v>
      </c>
      <c r="M357" s="38"/>
      <c r="N357" s="38"/>
      <c r="O357" s="38"/>
      <c r="P357" s="39">
        <f t="shared" si="188"/>
        <v>102.2</v>
      </c>
      <c r="Q357" s="311"/>
      <c r="R357" s="40">
        <v>60000</v>
      </c>
      <c r="S357" s="41">
        <f>P357*R357</f>
        <v>6132000</v>
      </c>
      <c r="T357" s="41"/>
      <c r="U357" s="42" t="s">
        <v>123</v>
      </c>
      <c r="V357" s="66">
        <f>P357</f>
        <v>102.2</v>
      </c>
      <c r="W357" s="38" t="s">
        <v>48</v>
      </c>
      <c r="X357" s="41">
        <v>9500</v>
      </c>
      <c r="Y357" s="43">
        <v>1</v>
      </c>
      <c r="Z357" s="41">
        <f t="shared" si="195"/>
        <v>970900</v>
      </c>
      <c r="AA357" s="41">
        <f>P357*10000</f>
        <v>1022000</v>
      </c>
      <c r="AB357" s="41">
        <f t="shared" si="197"/>
        <v>18396000</v>
      </c>
      <c r="AC357" s="38"/>
      <c r="AD357" s="44">
        <f t="shared" si="189"/>
        <v>0</v>
      </c>
      <c r="AE357" s="41">
        <f t="shared" si="198"/>
        <v>26520900</v>
      </c>
      <c r="AF357" s="314"/>
      <c r="AG357" s="45"/>
      <c r="AH357" s="46"/>
      <c r="AI357" s="46"/>
      <c r="AJ357" s="46"/>
    </row>
    <row r="358" spans="1:36" s="47" customFormat="1" ht="48" customHeight="1">
      <c r="A358" s="308"/>
      <c r="B358" s="33" t="s">
        <v>429</v>
      </c>
      <c r="C358" s="324"/>
      <c r="D358" s="324"/>
      <c r="E358" s="327"/>
      <c r="F358" s="34">
        <v>452</v>
      </c>
      <c r="G358" s="34">
        <v>28</v>
      </c>
      <c r="H358" s="35">
        <v>102.2</v>
      </c>
      <c r="I358" s="34" t="s">
        <v>49</v>
      </c>
      <c r="J358" s="36" t="s">
        <v>410</v>
      </c>
      <c r="K358" s="37"/>
      <c r="L358" s="38"/>
      <c r="M358" s="38"/>
      <c r="N358" s="38"/>
      <c r="O358" s="38"/>
      <c r="P358" s="39">
        <f t="shared" si="188"/>
        <v>0</v>
      </c>
      <c r="Q358" s="311"/>
      <c r="R358" s="40"/>
      <c r="S358" s="41">
        <f t="shared" si="202"/>
        <v>0</v>
      </c>
      <c r="T358" s="41"/>
      <c r="U358" s="42" t="s">
        <v>173</v>
      </c>
      <c r="V358" s="66">
        <f>P358</f>
        <v>0</v>
      </c>
      <c r="W358" s="38" t="s">
        <v>48</v>
      </c>
      <c r="X358" s="41"/>
      <c r="Y358" s="43">
        <v>0</v>
      </c>
      <c r="Z358" s="41">
        <f t="shared" si="195"/>
        <v>0</v>
      </c>
      <c r="AA358" s="41">
        <f t="shared" si="203"/>
        <v>0</v>
      </c>
      <c r="AB358" s="41">
        <f t="shared" si="197"/>
        <v>0</v>
      </c>
      <c r="AC358" s="38"/>
      <c r="AD358" s="44">
        <f t="shared" si="189"/>
        <v>0</v>
      </c>
      <c r="AE358" s="41">
        <f t="shared" si="198"/>
        <v>0</v>
      </c>
      <c r="AF358" s="314"/>
      <c r="AG358" s="45" t="s">
        <v>174</v>
      </c>
      <c r="AH358" s="46"/>
      <c r="AI358" s="46"/>
      <c r="AJ358" s="46"/>
    </row>
    <row r="359" spans="1:36" s="47" customFormat="1" ht="48" customHeight="1">
      <c r="A359" s="308"/>
      <c r="B359" s="33" t="s">
        <v>429</v>
      </c>
      <c r="C359" s="50"/>
      <c r="D359" s="50"/>
      <c r="E359" s="51"/>
      <c r="F359" s="34">
        <v>384</v>
      </c>
      <c r="G359" s="34">
        <v>28</v>
      </c>
      <c r="H359" s="35">
        <v>15.1</v>
      </c>
      <c r="I359" s="34" t="s">
        <v>49</v>
      </c>
      <c r="J359" s="36" t="s">
        <v>410</v>
      </c>
      <c r="K359" s="37"/>
      <c r="L359" s="38">
        <f t="shared" si="178"/>
        <v>15.1</v>
      </c>
      <c r="M359" s="38"/>
      <c r="N359" s="38"/>
      <c r="O359" s="38"/>
      <c r="P359" s="39">
        <f t="shared" si="188"/>
        <v>15.1</v>
      </c>
      <c r="Q359" s="311"/>
      <c r="R359" s="40">
        <v>60000</v>
      </c>
      <c r="S359" s="41">
        <f t="shared" si="202"/>
        <v>906000</v>
      </c>
      <c r="T359" s="41"/>
      <c r="U359" s="42" t="s">
        <v>123</v>
      </c>
      <c r="V359" s="66">
        <v>15.1</v>
      </c>
      <c r="W359" s="38" t="s">
        <v>52</v>
      </c>
      <c r="X359" s="41">
        <v>9500</v>
      </c>
      <c r="Y359" s="43">
        <v>1</v>
      </c>
      <c r="Z359" s="41">
        <f t="shared" si="195"/>
        <v>143450</v>
      </c>
      <c r="AA359" s="41">
        <f t="shared" si="203"/>
        <v>151000</v>
      </c>
      <c r="AB359" s="41">
        <f t="shared" si="197"/>
        <v>2718000</v>
      </c>
      <c r="AC359" s="38"/>
      <c r="AD359" s="44">
        <f t="shared" si="189"/>
        <v>0</v>
      </c>
      <c r="AE359" s="41">
        <f t="shared" si="198"/>
        <v>3918450</v>
      </c>
      <c r="AF359" s="314"/>
      <c r="AG359" s="45"/>
      <c r="AH359" s="46"/>
      <c r="AI359" s="46"/>
      <c r="AJ359" s="46"/>
    </row>
    <row r="360" spans="1:36" s="47" customFormat="1" ht="48" customHeight="1">
      <c r="A360" s="308"/>
      <c r="B360" s="33" t="s">
        <v>429</v>
      </c>
      <c r="C360" s="50">
        <v>41</v>
      </c>
      <c r="D360" s="50">
        <v>4</v>
      </c>
      <c r="E360" s="51">
        <v>432</v>
      </c>
      <c r="F360" s="34">
        <v>202</v>
      </c>
      <c r="G360" s="34">
        <v>21</v>
      </c>
      <c r="H360" s="35">
        <v>483.8</v>
      </c>
      <c r="I360" s="34" t="s">
        <v>49</v>
      </c>
      <c r="J360" s="36" t="s">
        <v>260</v>
      </c>
      <c r="K360" s="37">
        <f t="shared" ref="K360" si="213">E360</f>
        <v>432</v>
      </c>
      <c r="L360" s="38">
        <f t="shared" si="178"/>
        <v>51.800000000000011</v>
      </c>
      <c r="M360" s="38"/>
      <c r="N360" s="38"/>
      <c r="O360" s="38"/>
      <c r="P360" s="39">
        <f t="shared" si="188"/>
        <v>483.8</v>
      </c>
      <c r="Q360" s="311"/>
      <c r="R360" s="40">
        <v>60000</v>
      </c>
      <c r="S360" s="41">
        <f t="shared" si="202"/>
        <v>29028000</v>
      </c>
      <c r="T360" s="41"/>
      <c r="U360" s="42" t="s">
        <v>413</v>
      </c>
      <c r="V360" s="60">
        <f>483/5</f>
        <v>96.6</v>
      </c>
      <c r="W360" s="38" t="s">
        <v>52</v>
      </c>
      <c r="X360" s="41">
        <v>300000</v>
      </c>
      <c r="Y360" s="43">
        <v>0.8</v>
      </c>
      <c r="Z360" s="41">
        <f t="shared" si="195"/>
        <v>23184000</v>
      </c>
      <c r="AA360" s="41">
        <f t="shared" si="203"/>
        <v>4838000</v>
      </c>
      <c r="AB360" s="41">
        <f t="shared" si="197"/>
        <v>87084000</v>
      </c>
      <c r="AC360" s="38"/>
      <c r="AD360" s="44">
        <f t="shared" si="189"/>
        <v>0</v>
      </c>
      <c r="AE360" s="41">
        <f t="shared" si="198"/>
        <v>144134000</v>
      </c>
      <c r="AF360" s="314"/>
      <c r="AG360" s="45">
        <f>259500*1510.1</f>
        <v>391870950</v>
      </c>
      <c r="AH360" s="46"/>
      <c r="AI360" s="46"/>
      <c r="AJ360" s="46"/>
    </row>
    <row r="361" spans="1:36" s="47" customFormat="1" ht="48" customHeight="1">
      <c r="A361" s="309"/>
      <c r="B361" s="33" t="s">
        <v>429</v>
      </c>
      <c r="C361" s="50"/>
      <c r="D361" s="50"/>
      <c r="E361" s="51"/>
      <c r="F361" s="34">
        <v>25</v>
      </c>
      <c r="G361" s="34">
        <v>28</v>
      </c>
      <c r="H361" s="35">
        <v>49.2</v>
      </c>
      <c r="I361" s="34" t="s">
        <v>55</v>
      </c>
      <c r="J361" s="36" t="s">
        <v>227</v>
      </c>
      <c r="K361" s="37"/>
      <c r="L361" s="38"/>
      <c r="M361" s="38">
        <v>49.2</v>
      </c>
      <c r="N361" s="38"/>
      <c r="O361" s="68"/>
      <c r="P361" s="39">
        <f t="shared" si="188"/>
        <v>49.2</v>
      </c>
      <c r="Q361" s="312"/>
      <c r="R361" s="40">
        <v>55000</v>
      </c>
      <c r="S361" s="41">
        <f>P361*R361</f>
        <v>2706000</v>
      </c>
      <c r="T361" s="41"/>
      <c r="U361" s="42" t="s">
        <v>413</v>
      </c>
      <c r="V361" s="60">
        <f>49/5</f>
        <v>9.8000000000000007</v>
      </c>
      <c r="W361" s="38" t="s">
        <v>52</v>
      </c>
      <c r="X361" s="41">
        <v>300000</v>
      </c>
      <c r="Y361" s="43">
        <v>1</v>
      </c>
      <c r="Z361" s="41">
        <f t="shared" si="195"/>
        <v>2940000</v>
      </c>
      <c r="AA361" s="41">
        <f>P361*7000</f>
        <v>344400</v>
      </c>
      <c r="AB361" s="41">
        <f>P361*R361*3</f>
        <v>8118000</v>
      </c>
      <c r="AC361" s="38"/>
      <c r="AD361" s="44">
        <f t="shared" si="189"/>
        <v>0</v>
      </c>
      <c r="AE361" s="41">
        <f t="shared" si="198"/>
        <v>14108400</v>
      </c>
      <c r="AF361" s="315"/>
      <c r="AG361" s="45" t="s">
        <v>430</v>
      </c>
      <c r="AH361" s="46"/>
      <c r="AI361" s="46"/>
      <c r="AJ361" s="46"/>
    </row>
    <row r="362" spans="1:36" s="68" customFormat="1" ht="48" customHeight="1">
      <c r="A362" s="307">
        <v>88</v>
      </c>
      <c r="B362" s="33" t="s">
        <v>431</v>
      </c>
      <c r="C362" s="50">
        <v>48</v>
      </c>
      <c r="D362" s="50">
        <v>4</v>
      </c>
      <c r="E362" s="51">
        <v>312</v>
      </c>
      <c r="F362" s="34">
        <v>207</v>
      </c>
      <c r="G362" s="34">
        <v>21</v>
      </c>
      <c r="H362" s="35">
        <v>358.3</v>
      </c>
      <c r="I362" s="34" t="s">
        <v>45</v>
      </c>
      <c r="J362" s="36" t="s">
        <v>260</v>
      </c>
      <c r="K362" s="37">
        <f t="shared" ref="K362" si="214">E362</f>
        <v>312</v>
      </c>
      <c r="L362" s="38">
        <f t="shared" ref="L362:L365" si="215">H362-K362</f>
        <v>46.300000000000011</v>
      </c>
      <c r="M362" s="38"/>
      <c r="N362" s="38"/>
      <c r="O362" s="38"/>
      <c r="P362" s="39">
        <f t="shared" si="188"/>
        <v>358.3</v>
      </c>
      <c r="Q362" s="310">
        <f>SUM(P362:P370)</f>
        <v>1245.9000000000001</v>
      </c>
      <c r="R362" s="40">
        <v>60000</v>
      </c>
      <c r="S362" s="41">
        <f t="shared" ref="S362:S363" si="216">P362*R362</f>
        <v>21498000</v>
      </c>
      <c r="T362" s="41"/>
      <c r="U362" s="42" t="s">
        <v>413</v>
      </c>
      <c r="V362" s="60">
        <v>72</v>
      </c>
      <c r="W362" s="38" t="s">
        <v>52</v>
      </c>
      <c r="X362" s="41">
        <v>300000</v>
      </c>
      <c r="Y362" s="43">
        <v>0.8</v>
      </c>
      <c r="Z362" s="41">
        <f t="shared" si="195"/>
        <v>17280000</v>
      </c>
      <c r="AA362" s="41">
        <f t="shared" ref="AA362:AA363" si="217">P362*10000</f>
        <v>3583000</v>
      </c>
      <c r="AB362" s="41">
        <f t="shared" si="197"/>
        <v>64494000</v>
      </c>
      <c r="AC362" s="38">
        <v>2</v>
      </c>
      <c r="AD362" s="44">
        <f t="shared" si="189"/>
        <v>7000000</v>
      </c>
      <c r="AE362" s="41">
        <f t="shared" si="198"/>
        <v>113855000</v>
      </c>
      <c r="AF362" s="313">
        <f>SUM(AE362:AE370)</f>
        <v>343528100</v>
      </c>
      <c r="AG362" s="45"/>
      <c r="AH362" s="67"/>
      <c r="AI362" s="67"/>
      <c r="AJ362" s="67"/>
    </row>
    <row r="363" spans="1:36" s="68" customFormat="1" ht="50.25" customHeight="1">
      <c r="A363" s="308"/>
      <c r="B363" s="33" t="s">
        <v>431</v>
      </c>
      <c r="C363" s="50"/>
      <c r="D363" s="50"/>
      <c r="E363" s="51"/>
      <c r="F363" s="34">
        <v>154</v>
      </c>
      <c r="G363" s="34">
        <v>28</v>
      </c>
      <c r="H363" s="35">
        <v>197.4</v>
      </c>
      <c r="I363" s="34" t="s">
        <v>45</v>
      </c>
      <c r="J363" s="36" t="s">
        <v>50</v>
      </c>
      <c r="K363" s="37"/>
      <c r="L363" s="38">
        <v>60</v>
      </c>
      <c r="M363" s="38"/>
      <c r="N363" s="38"/>
      <c r="O363" s="38"/>
      <c r="P363" s="39">
        <f t="shared" si="188"/>
        <v>60</v>
      </c>
      <c r="Q363" s="311"/>
      <c r="R363" s="40">
        <v>60000</v>
      </c>
      <c r="S363" s="41">
        <f t="shared" si="216"/>
        <v>3600000</v>
      </c>
      <c r="T363" s="41"/>
      <c r="U363" s="42" t="s">
        <v>64</v>
      </c>
      <c r="V363" s="60">
        <v>98.7</v>
      </c>
      <c r="W363" s="38" t="s">
        <v>52</v>
      </c>
      <c r="X363" s="41">
        <v>9500</v>
      </c>
      <c r="Y363" s="43">
        <v>1</v>
      </c>
      <c r="Z363" s="41">
        <f t="shared" si="195"/>
        <v>937650</v>
      </c>
      <c r="AA363" s="41">
        <f t="shared" si="217"/>
        <v>600000</v>
      </c>
      <c r="AB363" s="41">
        <f t="shared" si="197"/>
        <v>10800000</v>
      </c>
      <c r="AC363" s="38"/>
      <c r="AD363" s="44">
        <f t="shared" si="189"/>
        <v>0</v>
      </c>
      <c r="AE363" s="41">
        <f t="shared" si="198"/>
        <v>15937650</v>
      </c>
      <c r="AF363" s="314"/>
      <c r="AG363" s="45" t="s">
        <v>432</v>
      </c>
      <c r="AH363" s="67"/>
      <c r="AI363" s="67"/>
      <c r="AJ363" s="67"/>
    </row>
    <row r="364" spans="1:36" s="68" customFormat="1" ht="50.25" customHeight="1">
      <c r="A364" s="308"/>
      <c r="B364" s="33" t="s">
        <v>431</v>
      </c>
      <c r="C364" s="50"/>
      <c r="D364" s="50"/>
      <c r="E364" s="51"/>
      <c r="F364" s="34">
        <v>139</v>
      </c>
      <c r="G364" s="34">
        <v>28</v>
      </c>
      <c r="H364" s="35">
        <v>115.1</v>
      </c>
      <c r="I364" s="34" t="s">
        <v>45</v>
      </c>
      <c r="J364" s="36" t="s">
        <v>50</v>
      </c>
      <c r="K364" s="37"/>
      <c r="L364" s="38"/>
      <c r="M364" s="38">
        <v>115.1</v>
      </c>
      <c r="N364" s="38"/>
      <c r="O364" s="38"/>
      <c r="P364" s="39">
        <f t="shared" si="188"/>
        <v>115.1</v>
      </c>
      <c r="Q364" s="311"/>
      <c r="R364" s="40">
        <v>55000</v>
      </c>
      <c r="S364" s="41">
        <f>P364*R364</f>
        <v>6330500</v>
      </c>
      <c r="T364" s="41"/>
      <c r="U364" s="42" t="s">
        <v>433</v>
      </c>
      <c r="V364" s="60">
        <f>115/5</f>
        <v>23</v>
      </c>
      <c r="W364" s="38" t="s">
        <v>52</v>
      </c>
      <c r="X364" s="41">
        <v>118000</v>
      </c>
      <c r="Y364" s="43">
        <v>1</v>
      </c>
      <c r="Z364" s="41">
        <f t="shared" si="195"/>
        <v>2714000</v>
      </c>
      <c r="AA364" s="41">
        <f>P364*7000</f>
        <v>805700</v>
      </c>
      <c r="AB364" s="41">
        <f>P364*R364*3</f>
        <v>18991500</v>
      </c>
      <c r="AC364" s="38"/>
      <c r="AD364" s="44">
        <f t="shared" si="189"/>
        <v>0</v>
      </c>
      <c r="AE364" s="41">
        <f t="shared" si="198"/>
        <v>28841700</v>
      </c>
      <c r="AF364" s="314"/>
      <c r="AG364" s="45"/>
      <c r="AH364" s="67"/>
      <c r="AI364" s="67"/>
      <c r="AJ364" s="67"/>
    </row>
    <row r="365" spans="1:36" s="68" customFormat="1" ht="50.25" customHeight="1">
      <c r="A365" s="308"/>
      <c r="B365" s="33" t="s">
        <v>431</v>
      </c>
      <c r="C365" s="50">
        <v>128</v>
      </c>
      <c r="D365" s="50">
        <v>5</v>
      </c>
      <c r="E365" s="51">
        <v>192</v>
      </c>
      <c r="F365" s="34">
        <v>281</v>
      </c>
      <c r="G365" s="34">
        <v>28</v>
      </c>
      <c r="H365" s="35">
        <v>241.3</v>
      </c>
      <c r="I365" s="34" t="s">
        <v>49</v>
      </c>
      <c r="J365" s="36" t="s">
        <v>50</v>
      </c>
      <c r="K365" s="37">
        <f t="shared" ref="K365" si="218">E365</f>
        <v>192</v>
      </c>
      <c r="L365" s="38">
        <f t="shared" si="215"/>
        <v>49.300000000000011</v>
      </c>
      <c r="M365" s="38"/>
      <c r="N365" s="38"/>
      <c r="O365" s="38"/>
      <c r="P365" s="39">
        <f t="shared" si="188"/>
        <v>241.3</v>
      </c>
      <c r="Q365" s="311"/>
      <c r="R365" s="40">
        <v>60000</v>
      </c>
      <c r="S365" s="41">
        <f>P365*R365</f>
        <v>14478000</v>
      </c>
      <c r="T365" s="41"/>
      <c r="U365" s="42" t="s">
        <v>86</v>
      </c>
      <c r="V365" s="66">
        <f t="shared" ref="V365:V368" si="219">P365</f>
        <v>241.3</v>
      </c>
      <c r="W365" s="38" t="s">
        <v>48</v>
      </c>
      <c r="X365" s="41">
        <v>9500</v>
      </c>
      <c r="Y365" s="43">
        <v>1</v>
      </c>
      <c r="Z365" s="41">
        <f t="shared" si="195"/>
        <v>2292350</v>
      </c>
      <c r="AA365" s="41">
        <f>P365*10000</f>
        <v>2413000</v>
      </c>
      <c r="AB365" s="41">
        <f t="shared" si="197"/>
        <v>43434000</v>
      </c>
      <c r="AC365" s="38"/>
      <c r="AD365" s="44">
        <f t="shared" si="189"/>
        <v>0</v>
      </c>
      <c r="AE365" s="41">
        <f t="shared" si="198"/>
        <v>62617350</v>
      </c>
      <c r="AF365" s="314"/>
      <c r="AG365" s="81">
        <f>Q362*40000</f>
        <v>49836000</v>
      </c>
      <c r="AH365" s="67"/>
      <c r="AI365" s="67"/>
      <c r="AJ365" s="67"/>
    </row>
    <row r="366" spans="1:36" s="68" customFormat="1" ht="50.25" customHeight="1">
      <c r="A366" s="308"/>
      <c r="B366" s="33" t="s">
        <v>431</v>
      </c>
      <c r="C366" s="50"/>
      <c r="D366" s="50"/>
      <c r="E366" s="51"/>
      <c r="F366" s="34">
        <v>281</v>
      </c>
      <c r="G366" s="34">
        <v>28</v>
      </c>
      <c r="H366" s="35">
        <v>241.3</v>
      </c>
      <c r="I366" s="34" t="s">
        <v>49</v>
      </c>
      <c r="J366" s="36" t="s">
        <v>50</v>
      </c>
      <c r="K366" s="37"/>
      <c r="L366" s="38"/>
      <c r="M366" s="38"/>
      <c r="N366" s="38"/>
      <c r="O366" s="38"/>
      <c r="P366" s="39">
        <f t="shared" si="188"/>
        <v>0</v>
      </c>
      <c r="Q366" s="311"/>
      <c r="R366" s="40"/>
      <c r="S366" s="41">
        <f t="shared" si="202"/>
        <v>0</v>
      </c>
      <c r="T366" s="41"/>
      <c r="U366" s="42" t="s">
        <v>173</v>
      </c>
      <c r="V366" s="66">
        <f t="shared" si="219"/>
        <v>0</v>
      </c>
      <c r="W366" s="38" t="s">
        <v>48</v>
      </c>
      <c r="X366" s="41"/>
      <c r="Y366" s="43">
        <v>0</v>
      </c>
      <c r="Z366" s="41">
        <f t="shared" si="195"/>
        <v>0</v>
      </c>
      <c r="AA366" s="41">
        <f t="shared" ref="AA366:AA385" si="220">P366*10000</f>
        <v>0</v>
      </c>
      <c r="AB366" s="41">
        <f t="shared" si="197"/>
        <v>0</v>
      </c>
      <c r="AC366" s="38"/>
      <c r="AD366" s="44">
        <f t="shared" si="189"/>
        <v>0</v>
      </c>
      <c r="AE366" s="41">
        <f t="shared" si="198"/>
        <v>0</v>
      </c>
      <c r="AF366" s="314"/>
      <c r="AG366" s="45" t="s">
        <v>174</v>
      </c>
      <c r="AH366" s="67"/>
      <c r="AI366" s="67"/>
      <c r="AJ366" s="67"/>
    </row>
    <row r="367" spans="1:36" s="68" customFormat="1" ht="46.5" customHeight="1">
      <c r="A367" s="308"/>
      <c r="B367" s="33" t="s">
        <v>431</v>
      </c>
      <c r="C367" s="50">
        <v>106</v>
      </c>
      <c r="D367" s="50">
        <v>5</v>
      </c>
      <c r="E367" s="51">
        <v>132</v>
      </c>
      <c r="F367" s="34">
        <v>289</v>
      </c>
      <c r="G367" s="34">
        <v>28</v>
      </c>
      <c r="H367" s="35">
        <v>157.30000000000001</v>
      </c>
      <c r="I367" s="34" t="s">
        <v>49</v>
      </c>
      <c r="J367" s="36" t="s">
        <v>50</v>
      </c>
      <c r="K367" s="37">
        <f t="shared" ref="K367" si="221">E367</f>
        <v>132</v>
      </c>
      <c r="L367" s="38">
        <f t="shared" ref="L367" si="222">H367-K367</f>
        <v>25.300000000000011</v>
      </c>
      <c r="M367" s="38"/>
      <c r="N367" s="38"/>
      <c r="O367" s="38"/>
      <c r="P367" s="39">
        <f t="shared" si="188"/>
        <v>157.30000000000001</v>
      </c>
      <c r="Q367" s="311"/>
      <c r="R367" s="40">
        <v>60000</v>
      </c>
      <c r="S367" s="41">
        <f t="shared" si="202"/>
        <v>9438000</v>
      </c>
      <c r="T367" s="41"/>
      <c r="U367" s="42" t="s">
        <v>64</v>
      </c>
      <c r="V367" s="66">
        <f t="shared" si="219"/>
        <v>157.30000000000001</v>
      </c>
      <c r="W367" s="38" t="s">
        <v>48</v>
      </c>
      <c r="X367" s="41">
        <v>9500</v>
      </c>
      <c r="Y367" s="43">
        <v>1</v>
      </c>
      <c r="Z367" s="41">
        <f t="shared" si="195"/>
        <v>1494350</v>
      </c>
      <c r="AA367" s="41">
        <f t="shared" si="220"/>
        <v>1573000</v>
      </c>
      <c r="AB367" s="41">
        <f t="shared" si="197"/>
        <v>28314000</v>
      </c>
      <c r="AC367" s="38"/>
      <c r="AD367" s="44">
        <f t="shared" si="189"/>
        <v>0</v>
      </c>
      <c r="AE367" s="41">
        <f t="shared" si="198"/>
        <v>40819350</v>
      </c>
      <c r="AF367" s="314"/>
      <c r="AG367" s="45"/>
      <c r="AH367" s="67"/>
      <c r="AI367" s="67"/>
      <c r="AJ367" s="67"/>
    </row>
    <row r="368" spans="1:36" s="68" customFormat="1" ht="46.5" customHeight="1">
      <c r="A368" s="308"/>
      <c r="B368" s="33" t="s">
        <v>431</v>
      </c>
      <c r="C368" s="50"/>
      <c r="D368" s="50"/>
      <c r="E368" s="51"/>
      <c r="F368" s="34">
        <v>289</v>
      </c>
      <c r="G368" s="34">
        <v>28</v>
      </c>
      <c r="H368" s="35">
        <v>157.30000000000001</v>
      </c>
      <c r="I368" s="34" t="s">
        <v>49</v>
      </c>
      <c r="J368" s="36" t="s">
        <v>50</v>
      </c>
      <c r="K368" s="37"/>
      <c r="L368" s="38"/>
      <c r="M368" s="38"/>
      <c r="N368" s="38"/>
      <c r="O368" s="38"/>
      <c r="P368" s="39">
        <f t="shared" si="188"/>
        <v>0</v>
      </c>
      <c r="Q368" s="311"/>
      <c r="R368" s="40">
        <v>60000</v>
      </c>
      <c r="S368" s="41">
        <f t="shared" si="202"/>
        <v>0</v>
      </c>
      <c r="T368" s="41"/>
      <c r="U368" s="42" t="s">
        <v>173</v>
      </c>
      <c r="V368" s="66">
        <f t="shared" si="219"/>
        <v>0</v>
      </c>
      <c r="W368" s="38" t="s">
        <v>48</v>
      </c>
      <c r="X368" s="41"/>
      <c r="Y368" s="43">
        <v>0</v>
      </c>
      <c r="Z368" s="41">
        <f t="shared" si="195"/>
        <v>0</v>
      </c>
      <c r="AA368" s="41">
        <f t="shared" si="220"/>
        <v>0</v>
      </c>
      <c r="AB368" s="41">
        <f t="shared" si="197"/>
        <v>0</v>
      </c>
      <c r="AC368" s="38"/>
      <c r="AD368" s="44">
        <f t="shared" si="189"/>
        <v>0</v>
      </c>
      <c r="AE368" s="41">
        <f t="shared" si="198"/>
        <v>0</v>
      </c>
      <c r="AF368" s="314"/>
      <c r="AG368" s="45" t="s">
        <v>174</v>
      </c>
      <c r="AH368" s="67"/>
      <c r="AI368" s="67"/>
      <c r="AJ368" s="67"/>
    </row>
    <row r="369" spans="1:36" s="68" customFormat="1" ht="46.5" customHeight="1">
      <c r="A369" s="308"/>
      <c r="B369" s="33" t="s">
        <v>431</v>
      </c>
      <c r="C369" s="50">
        <v>131</v>
      </c>
      <c r="D369" s="50">
        <v>5</v>
      </c>
      <c r="E369" s="51">
        <v>288</v>
      </c>
      <c r="F369" s="34">
        <v>301</v>
      </c>
      <c r="G369" s="34">
        <v>28</v>
      </c>
      <c r="H369" s="35">
        <v>313.89999999999998</v>
      </c>
      <c r="I369" s="34" t="s">
        <v>45</v>
      </c>
      <c r="J369" s="36" t="s">
        <v>198</v>
      </c>
      <c r="K369" s="37">
        <f t="shared" ref="K369" si="223">E369</f>
        <v>288</v>
      </c>
      <c r="L369" s="38">
        <f t="shared" ref="L369" si="224">H369-K369</f>
        <v>25.899999999999977</v>
      </c>
      <c r="M369" s="38"/>
      <c r="N369" s="38"/>
      <c r="O369" s="38"/>
      <c r="P369" s="39">
        <f t="shared" si="188"/>
        <v>313.89999999999998</v>
      </c>
      <c r="Q369" s="311"/>
      <c r="R369" s="40">
        <v>60000</v>
      </c>
      <c r="S369" s="41">
        <f t="shared" si="202"/>
        <v>18834000</v>
      </c>
      <c r="T369" s="41"/>
      <c r="U369" s="42" t="s">
        <v>64</v>
      </c>
      <c r="V369" s="66">
        <f>P369</f>
        <v>313.89999999999998</v>
      </c>
      <c r="W369" s="38" t="s">
        <v>48</v>
      </c>
      <c r="X369" s="41">
        <v>9500</v>
      </c>
      <c r="Y369" s="43">
        <v>1</v>
      </c>
      <c r="Z369" s="41">
        <f t="shared" si="195"/>
        <v>2982050</v>
      </c>
      <c r="AA369" s="41">
        <f t="shared" si="220"/>
        <v>3139000</v>
      </c>
      <c r="AB369" s="41">
        <f t="shared" si="197"/>
        <v>56502000</v>
      </c>
      <c r="AC369" s="38"/>
      <c r="AD369" s="44">
        <f t="shared" si="189"/>
        <v>0</v>
      </c>
      <c r="AE369" s="41">
        <f t="shared" si="198"/>
        <v>81457050</v>
      </c>
      <c r="AF369" s="314"/>
      <c r="AG369" s="45"/>
      <c r="AH369" s="67"/>
      <c r="AI369" s="67"/>
      <c r="AJ369" s="67"/>
    </row>
    <row r="370" spans="1:36" s="68" customFormat="1" ht="48" customHeight="1">
      <c r="A370" s="309"/>
      <c r="B370" s="33" t="s">
        <v>431</v>
      </c>
      <c r="C370" s="50"/>
      <c r="D370" s="50"/>
      <c r="E370" s="51"/>
      <c r="F370" s="34">
        <v>301</v>
      </c>
      <c r="G370" s="34">
        <v>28</v>
      </c>
      <c r="H370" s="35">
        <v>313.89999999999998</v>
      </c>
      <c r="I370" s="34" t="s">
        <v>45</v>
      </c>
      <c r="J370" s="36" t="s">
        <v>198</v>
      </c>
      <c r="K370" s="37"/>
      <c r="L370" s="38"/>
      <c r="M370" s="38"/>
      <c r="N370" s="38"/>
      <c r="O370" s="38"/>
      <c r="P370" s="39">
        <f t="shared" si="188"/>
        <v>0</v>
      </c>
      <c r="Q370" s="312"/>
      <c r="R370" s="40">
        <v>60000</v>
      </c>
      <c r="S370" s="41">
        <f t="shared" si="202"/>
        <v>0</v>
      </c>
      <c r="T370" s="41"/>
      <c r="U370" s="42" t="s">
        <v>173</v>
      </c>
      <c r="V370" s="66">
        <f>P370</f>
        <v>0</v>
      </c>
      <c r="W370" s="38" t="s">
        <v>48</v>
      </c>
      <c r="X370" s="41"/>
      <c r="Y370" s="43">
        <v>0</v>
      </c>
      <c r="Z370" s="41">
        <f t="shared" si="195"/>
        <v>0</v>
      </c>
      <c r="AA370" s="41">
        <f t="shared" si="220"/>
        <v>0</v>
      </c>
      <c r="AB370" s="41">
        <f t="shared" si="197"/>
        <v>0</v>
      </c>
      <c r="AC370" s="38"/>
      <c r="AD370" s="44">
        <f t="shared" si="189"/>
        <v>0</v>
      </c>
      <c r="AE370" s="41">
        <f t="shared" si="198"/>
        <v>0</v>
      </c>
      <c r="AF370" s="315"/>
      <c r="AG370" s="45" t="s">
        <v>174</v>
      </c>
      <c r="AH370" s="67"/>
      <c r="AI370" s="67"/>
      <c r="AJ370" s="67"/>
    </row>
    <row r="371" spans="1:36" s="47" customFormat="1" ht="54.75" customHeight="1">
      <c r="A371" s="32">
        <v>89</v>
      </c>
      <c r="B371" s="33" t="s">
        <v>434</v>
      </c>
      <c r="C371" s="50">
        <v>212</v>
      </c>
      <c r="D371" s="50">
        <v>4</v>
      </c>
      <c r="E371" s="51">
        <v>144</v>
      </c>
      <c r="F371" s="34" t="s">
        <v>435</v>
      </c>
      <c r="G371" s="34" t="s">
        <v>99</v>
      </c>
      <c r="H371" s="35">
        <v>147.69999999999999</v>
      </c>
      <c r="I371" s="34" t="s">
        <v>49</v>
      </c>
      <c r="J371" s="36" t="s">
        <v>111</v>
      </c>
      <c r="K371" s="37">
        <f t="shared" si="174"/>
        <v>144</v>
      </c>
      <c r="L371" s="38">
        <f t="shared" ref="L371:L383" si="225">H371-K371</f>
        <v>3.6999999999999886</v>
      </c>
      <c r="M371" s="38"/>
      <c r="N371" s="38"/>
      <c r="O371" s="38"/>
      <c r="P371" s="39">
        <f t="shared" si="188"/>
        <v>147.69999999999999</v>
      </c>
      <c r="Q371" s="63">
        <f>P371</f>
        <v>147.69999999999999</v>
      </c>
      <c r="R371" s="40">
        <v>60000</v>
      </c>
      <c r="S371" s="41">
        <f t="shared" si="202"/>
        <v>8862000</v>
      </c>
      <c r="T371" s="41"/>
      <c r="U371" s="42" t="s">
        <v>436</v>
      </c>
      <c r="V371" s="66">
        <f>P371</f>
        <v>147.69999999999999</v>
      </c>
      <c r="W371" s="38" t="s">
        <v>48</v>
      </c>
      <c r="X371" s="41">
        <v>9500</v>
      </c>
      <c r="Y371" s="43">
        <v>1</v>
      </c>
      <c r="Z371" s="41">
        <f t="shared" si="195"/>
        <v>1403150</v>
      </c>
      <c r="AA371" s="41">
        <f t="shared" si="220"/>
        <v>1477000</v>
      </c>
      <c r="AB371" s="41">
        <f t="shared" si="197"/>
        <v>26586000</v>
      </c>
      <c r="AC371" s="38"/>
      <c r="AD371" s="44">
        <f t="shared" si="189"/>
        <v>0</v>
      </c>
      <c r="AE371" s="41">
        <f t="shared" si="198"/>
        <v>38328150</v>
      </c>
      <c r="AF371" s="64">
        <f>AE371</f>
        <v>38328150</v>
      </c>
      <c r="AG371" s="45"/>
      <c r="AH371" s="46"/>
      <c r="AI371" s="46"/>
      <c r="AJ371" s="46"/>
    </row>
    <row r="372" spans="1:36" s="68" customFormat="1" ht="43.5" customHeight="1">
      <c r="A372" s="307">
        <v>90</v>
      </c>
      <c r="B372" s="33" t="s">
        <v>437</v>
      </c>
      <c r="C372" s="50">
        <v>10</v>
      </c>
      <c r="D372" s="50">
        <v>4</v>
      </c>
      <c r="E372" s="51">
        <v>552</v>
      </c>
      <c r="F372" s="34" t="s">
        <v>438</v>
      </c>
      <c r="G372" s="34" t="s">
        <v>96</v>
      </c>
      <c r="H372" s="35">
        <v>628.9</v>
      </c>
      <c r="I372" s="34" t="s">
        <v>45</v>
      </c>
      <c r="J372" s="36" t="s">
        <v>54</v>
      </c>
      <c r="K372" s="37">
        <f t="shared" si="174"/>
        <v>552</v>
      </c>
      <c r="L372" s="38">
        <f t="shared" si="225"/>
        <v>76.899999999999977</v>
      </c>
      <c r="M372" s="38"/>
      <c r="N372" s="38"/>
      <c r="O372" s="38"/>
      <c r="P372" s="39">
        <f t="shared" si="188"/>
        <v>628.9</v>
      </c>
      <c r="Q372" s="310">
        <f>SUM(P372:P375)</f>
        <v>1141.3</v>
      </c>
      <c r="R372" s="40">
        <v>60000</v>
      </c>
      <c r="S372" s="41">
        <f t="shared" si="202"/>
        <v>37734000</v>
      </c>
      <c r="T372" s="41"/>
      <c r="U372" s="42" t="s">
        <v>255</v>
      </c>
      <c r="V372" s="66">
        <v>140</v>
      </c>
      <c r="W372" s="38" t="s">
        <v>52</v>
      </c>
      <c r="X372" s="41">
        <v>163000</v>
      </c>
      <c r="Y372" s="43">
        <v>0.8</v>
      </c>
      <c r="Z372" s="41">
        <f t="shared" si="195"/>
        <v>18256000</v>
      </c>
      <c r="AA372" s="41">
        <f t="shared" si="220"/>
        <v>6289000</v>
      </c>
      <c r="AB372" s="41">
        <f t="shared" si="197"/>
        <v>113202000</v>
      </c>
      <c r="AC372" s="38">
        <v>2</v>
      </c>
      <c r="AD372" s="44">
        <f t="shared" si="189"/>
        <v>7000000</v>
      </c>
      <c r="AE372" s="41">
        <f t="shared" si="198"/>
        <v>182481000</v>
      </c>
      <c r="AF372" s="313">
        <f>SUM(AE372:AE376)</f>
        <v>322710600</v>
      </c>
      <c r="AG372" s="45"/>
      <c r="AH372" s="67"/>
      <c r="AI372" s="67"/>
      <c r="AJ372" s="67"/>
    </row>
    <row r="373" spans="1:36" s="68" customFormat="1" ht="48" customHeight="1">
      <c r="A373" s="308"/>
      <c r="B373" s="33" t="s">
        <v>437</v>
      </c>
      <c r="C373" s="50">
        <v>222</v>
      </c>
      <c r="D373" s="50">
        <v>5</v>
      </c>
      <c r="E373" s="51">
        <v>118</v>
      </c>
      <c r="F373" s="34" t="s">
        <v>439</v>
      </c>
      <c r="G373" s="34" t="s">
        <v>99</v>
      </c>
      <c r="H373" s="35">
        <v>216</v>
      </c>
      <c r="I373" s="34" t="s">
        <v>49</v>
      </c>
      <c r="J373" s="36" t="s">
        <v>242</v>
      </c>
      <c r="K373" s="37">
        <f t="shared" si="174"/>
        <v>118</v>
      </c>
      <c r="L373" s="38">
        <f t="shared" si="225"/>
        <v>98</v>
      </c>
      <c r="M373" s="38"/>
      <c r="N373" s="38"/>
      <c r="O373" s="38"/>
      <c r="P373" s="39">
        <f t="shared" si="188"/>
        <v>216</v>
      </c>
      <c r="Q373" s="311"/>
      <c r="R373" s="40">
        <v>60000</v>
      </c>
      <c r="S373" s="41">
        <f t="shared" si="202"/>
        <v>12960000</v>
      </c>
      <c r="T373" s="41"/>
      <c r="U373" s="42" t="s">
        <v>100</v>
      </c>
      <c r="V373" s="66">
        <f>216/4.5</f>
        <v>48</v>
      </c>
      <c r="W373" s="38" t="s">
        <v>52</v>
      </c>
      <c r="X373" s="41">
        <v>118000</v>
      </c>
      <c r="Y373" s="43">
        <v>0.8</v>
      </c>
      <c r="Z373" s="41">
        <f t="shared" si="195"/>
        <v>4531200</v>
      </c>
      <c r="AA373" s="41">
        <f t="shared" si="220"/>
        <v>2160000</v>
      </c>
      <c r="AB373" s="41">
        <f t="shared" si="197"/>
        <v>38880000</v>
      </c>
      <c r="AC373" s="38"/>
      <c r="AD373" s="44">
        <f t="shared" si="189"/>
        <v>0</v>
      </c>
      <c r="AE373" s="41">
        <f t="shared" si="198"/>
        <v>58531200</v>
      </c>
      <c r="AF373" s="314"/>
      <c r="AG373" s="45"/>
      <c r="AH373" s="67"/>
      <c r="AI373" s="67"/>
      <c r="AJ373" s="67"/>
    </row>
    <row r="374" spans="1:36" s="68" customFormat="1" ht="45" customHeight="1">
      <c r="A374" s="308"/>
      <c r="B374" s="33" t="s">
        <v>437</v>
      </c>
      <c r="C374" s="50">
        <v>223</v>
      </c>
      <c r="D374" s="50">
        <v>5</v>
      </c>
      <c r="E374" s="51">
        <v>108</v>
      </c>
      <c r="F374" s="34" t="s">
        <v>440</v>
      </c>
      <c r="G374" s="34" t="s">
        <v>99</v>
      </c>
      <c r="H374" s="35">
        <v>126.9</v>
      </c>
      <c r="I374" s="34" t="s">
        <v>49</v>
      </c>
      <c r="J374" s="36" t="s">
        <v>242</v>
      </c>
      <c r="K374" s="37">
        <f t="shared" si="174"/>
        <v>108</v>
      </c>
      <c r="L374" s="38">
        <f t="shared" si="225"/>
        <v>18.900000000000006</v>
      </c>
      <c r="M374" s="38"/>
      <c r="N374" s="38"/>
      <c r="O374" s="38"/>
      <c r="P374" s="39">
        <f t="shared" si="188"/>
        <v>126.9</v>
      </c>
      <c r="Q374" s="311"/>
      <c r="R374" s="40">
        <v>60000</v>
      </c>
      <c r="S374" s="41">
        <f t="shared" si="202"/>
        <v>7614000</v>
      </c>
      <c r="T374" s="41"/>
      <c r="U374" s="42" t="s">
        <v>441</v>
      </c>
      <c r="V374" s="66">
        <v>28</v>
      </c>
      <c r="W374" s="38" t="s">
        <v>52</v>
      </c>
      <c r="X374" s="41">
        <v>118000</v>
      </c>
      <c r="Y374" s="43">
        <v>0.8</v>
      </c>
      <c r="Z374" s="41">
        <f t="shared" si="195"/>
        <v>2643200</v>
      </c>
      <c r="AA374" s="41">
        <f t="shared" si="220"/>
        <v>1269000</v>
      </c>
      <c r="AB374" s="41">
        <f t="shared" si="197"/>
        <v>22842000</v>
      </c>
      <c r="AC374" s="38"/>
      <c r="AD374" s="44">
        <f t="shared" si="189"/>
        <v>0</v>
      </c>
      <c r="AE374" s="41">
        <f t="shared" si="198"/>
        <v>34368200</v>
      </c>
      <c r="AF374" s="314"/>
      <c r="AG374" s="45"/>
      <c r="AH374" s="67"/>
      <c r="AI374" s="67"/>
      <c r="AJ374" s="67"/>
    </row>
    <row r="375" spans="1:36" s="47" customFormat="1" ht="54.75" customHeight="1">
      <c r="A375" s="308"/>
      <c r="B375" s="33" t="s">
        <v>437</v>
      </c>
      <c r="C375" s="50">
        <v>223</v>
      </c>
      <c r="D375" s="50">
        <v>5</v>
      </c>
      <c r="E375" s="51">
        <v>168</v>
      </c>
      <c r="F375" s="34">
        <v>78</v>
      </c>
      <c r="G375" s="34">
        <v>28</v>
      </c>
      <c r="H375" s="35">
        <v>169.5</v>
      </c>
      <c r="I375" s="34" t="s">
        <v>49</v>
      </c>
      <c r="J375" s="36" t="s">
        <v>50</v>
      </c>
      <c r="K375" s="37">
        <f>E375</f>
        <v>168</v>
      </c>
      <c r="L375" s="38">
        <f>H375-K375</f>
        <v>1.5</v>
      </c>
      <c r="M375" s="38"/>
      <c r="N375" s="38"/>
      <c r="O375" s="38"/>
      <c r="P375" s="39">
        <f t="shared" si="188"/>
        <v>169.5</v>
      </c>
      <c r="Q375" s="311"/>
      <c r="R375" s="40">
        <v>60000</v>
      </c>
      <c r="S375" s="41">
        <f t="shared" si="202"/>
        <v>10170000</v>
      </c>
      <c r="T375" s="41"/>
      <c r="U375" s="42" t="s">
        <v>442</v>
      </c>
      <c r="V375" s="66">
        <v>38</v>
      </c>
      <c r="W375" s="38" t="s">
        <v>52</v>
      </c>
      <c r="X375" s="41">
        <v>163000</v>
      </c>
      <c r="Y375" s="43">
        <v>0.8</v>
      </c>
      <c r="Z375" s="41">
        <f t="shared" si="195"/>
        <v>4955200</v>
      </c>
      <c r="AA375" s="41">
        <f t="shared" si="220"/>
        <v>1695000</v>
      </c>
      <c r="AB375" s="41">
        <f t="shared" si="197"/>
        <v>30510000</v>
      </c>
      <c r="AC375" s="38"/>
      <c r="AD375" s="44">
        <f t="shared" si="189"/>
        <v>0</v>
      </c>
      <c r="AE375" s="41">
        <f t="shared" si="198"/>
        <v>47330200</v>
      </c>
      <c r="AF375" s="314"/>
      <c r="AG375" s="45"/>
      <c r="AH375" s="46"/>
      <c r="AI375" s="46"/>
      <c r="AJ375" s="46"/>
    </row>
    <row r="376" spans="1:36" s="47" customFormat="1" ht="48" customHeight="1">
      <c r="A376" s="309"/>
      <c r="B376" s="33" t="s">
        <v>437</v>
      </c>
      <c r="C376" s="50"/>
      <c r="D376" s="50"/>
      <c r="E376" s="51"/>
      <c r="F376" s="34"/>
      <c r="G376" s="34"/>
      <c r="H376" s="35"/>
      <c r="I376" s="34"/>
      <c r="J376" s="36"/>
      <c r="K376" s="37"/>
      <c r="L376" s="38"/>
      <c r="M376" s="38"/>
      <c r="N376" s="38"/>
      <c r="O376" s="38"/>
      <c r="P376" s="39">
        <f t="shared" si="188"/>
        <v>0</v>
      </c>
      <c r="Q376" s="312"/>
      <c r="R376" s="40"/>
      <c r="S376" s="41"/>
      <c r="T376" s="41"/>
      <c r="U376" s="42" t="s">
        <v>442</v>
      </c>
      <c r="V376" s="66">
        <v>5</v>
      </c>
      <c r="W376" s="38" t="s">
        <v>52</v>
      </c>
      <c r="X376" s="41"/>
      <c r="Y376" s="43"/>
      <c r="Z376" s="41"/>
      <c r="AA376" s="41"/>
      <c r="AB376" s="41"/>
      <c r="AC376" s="38"/>
      <c r="AD376" s="44">
        <f t="shared" si="189"/>
        <v>0</v>
      </c>
      <c r="AE376" s="41">
        <f t="shared" si="198"/>
        <v>0</v>
      </c>
      <c r="AF376" s="315"/>
      <c r="AG376" s="45" t="s">
        <v>53</v>
      </c>
      <c r="AH376" s="46"/>
      <c r="AI376" s="46"/>
      <c r="AJ376" s="46"/>
    </row>
    <row r="377" spans="1:36" s="68" customFormat="1" ht="48" customHeight="1">
      <c r="A377" s="307">
        <v>91</v>
      </c>
      <c r="B377" s="33" t="s">
        <v>443</v>
      </c>
      <c r="C377" s="50">
        <v>185</v>
      </c>
      <c r="D377" s="50">
        <v>5</v>
      </c>
      <c r="E377" s="51">
        <v>168</v>
      </c>
      <c r="F377" s="34" t="s">
        <v>444</v>
      </c>
      <c r="G377" s="34" t="s">
        <v>99</v>
      </c>
      <c r="H377" s="35">
        <v>191.8</v>
      </c>
      <c r="I377" s="34" t="s">
        <v>49</v>
      </c>
      <c r="J377" s="36" t="s">
        <v>111</v>
      </c>
      <c r="K377" s="37">
        <f t="shared" ref="K377" si="226">E377</f>
        <v>168</v>
      </c>
      <c r="L377" s="38">
        <f t="shared" ref="L377" si="227">H377-K377</f>
        <v>23.800000000000011</v>
      </c>
      <c r="M377" s="38"/>
      <c r="N377" s="38"/>
      <c r="O377" s="38"/>
      <c r="P377" s="39">
        <f t="shared" si="188"/>
        <v>191.8</v>
      </c>
      <c r="Q377" s="310">
        <f>SUM(P377:P381)</f>
        <v>380.4</v>
      </c>
      <c r="R377" s="40">
        <v>60000</v>
      </c>
      <c r="S377" s="41">
        <f>P377*R377</f>
        <v>11508000</v>
      </c>
      <c r="T377" s="41"/>
      <c r="U377" s="42" t="s">
        <v>64</v>
      </c>
      <c r="V377" s="66">
        <f>P377</f>
        <v>191.8</v>
      </c>
      <c r="W377" s="38" t="s">
        <v>48</v>
      </c>
      <c r="X377" s="41">
        <v>9500</v>
      </c>
      <c r="Y377" s="43">
        <v>1</v>
      </c>
      <c r="Z377" s="41">
        <f t="shared" ref="Z377" si="228">V377*X377*Y377</f>
        <v>1822100</v>
      </c>
      <c r="AA377" s="41">
        <f>P377*10000</f>
        <v>1918000</v>
      </c>
      <c r="AB377" s="41">
        <f t="shared" ref="AB377" si="229">P377*R377*3</f>
        <v>34524000</v>
      </c>
      <c r="AC377" s="38"/>
      <c r="AD377" s="44">
        <f t="shared" si="189"/>
        <v>0</v>
      </c>
      <c r="AE377" s="41">
        <f t="shared" si="198"/>
        <v>49772100</v>
      </c>
      <c r="AF377" s="313">
        <f>SUM(AE377:AE381)</f>
        <v>98713800</v>
      </c>
      <c r="AG377" s="45"/>
      <c r="AH377" s="67"/>
      <c r="AI377" s="67"/>
      <c r="AJ377" s="67"/>
    </row>
    <row r="378" spans="1:36" s="68" customFormat="1" ht="48" customHeight="1">
      <c r="A378" s="308"/>
      <c r="B378" s="33" t="s">
        <v>443</v>
      </c>
      <c r="C378" s="50"/>
      <c r="D378" s="50"/>
      <c r="E378" s="51"/>
      <c r="F378" s="34" t="s">
        <v>444</v>
      </c>
      <c r="G378" s="34" t="s">
        <v>99</v>
      </c>
      <c r="H378" s="35">
        <v>191.8</v>
      </c>
      <c r="I378" s="34" t="s">
        <v>49</v>
      </c>
      <c r="J378" s="36" t="s">
        <v>111</v>
      </c>
      <c r="K378" s="37"/>
      <c r="L378" s="38"/>
      <c r="M378" s="38"/>
      <c r="N378" s="38"/>
      <c r="O378" s="38"/>
      <c r="P378" s="39">
        <f t="shared" si="188"/>
        <v>0</v>
      </c>
      <c r="Q378" s="311"/>
      <c r="R378" s="40"/>
      <c r="S378" s="41">
        <f t="shared" si="202"/>
        <v>0</v>
      </c>
      <c r="T378" s="41"/>
      <c r="U378" s="42" t="s">
        <v>220</v>
      </c>
      <c r="V378" s="66">
        <f>P378</f>
        <v>0</v>
      </c>
      <c r="W378" s="38"/>
      <c r="X378" s="41"/>
      <c r="Y378" s="43"/>
      <c r="Z378" s="41">
        <f t="shared" si="195"/>
        <v>0</v>
      </c>
      <c r="AA378" s="41">
        <f t="shared" si="220"/>
        <v>0</v>
      </c>
      <c r="AB378" s="41">
        <f t="shared" si="197"/>
        <v>0</v>
      </c>
      <c r="AC378" s="38"/>
      <c r="AD378" s="44">
        <f t="shared" si="189"/>
        <v>0</v>
      </c>
      <c r="AE378" s="41">
        <f t="shared" si="198"/>
        <v>0</v>
      </c>
      <c r="AF378" s="314"/>
      <c r="AG378" s="45" t="s">
        <v>445</v>
      </c>
      <c r="AH378" s="67"/>
      <c r="AI378" s="67"/>
      <c r="AJ378" s="67"/>
    </row>
    <row r="379" spans="1:36" s="68" customFormat="1" ht="48" customHeight="1">
      <c r="A379" s="308"/>
      <c r="B379" s="33" t="s">
        <v>443</v>
      </c>
      <c r="C379" s="50">
        <v>7</v>
      </c>
      <c r="D379" s="50">
        <v>4</v>
      </c>
      <c r="E379" s="51">
        <v>120</v>
      </c>
      <c r="F379" s="34" t="s">
        <v>446</v>
      </c>
      <c r="G379" s="34" t="s">
        <v>99</v>
      </c>
      <c r="H379" s="35">
        <v>117.7</v>
      </c>
      <c r="I379" s="34" t="s">
        <v>49</v>
      </c>
      <c r="J379" s="36" t="s">
        <v>242</v>
      </c>
      <c r="K379" s="37">
        <v>117.7</v>
      </c>
      <c r="L379" s="38">
        <f t="shared" ref="L379" si="230">H379-K379</f>
        <v>0</v>
      </c>
      <c r="M379" s="38"/>
      <c r="N379" s="38"/>
      <c r="O379" s="38"/>
      <c r="P379" s="39">
        <f t="shared" si="188"/>
        <v>117.7</v>
      </c>
      <c r="Q379" s="311"/>
      <c r="R379" s="40">
        <v>60000</v>
      </c>
      <c r="S379" s="41">
        <f>P379*R379</f>
        <v>7062000</v>
      </c>
      <c r="T379" s="41"/>
      <c r="U379" s="42" t="s">
        <v>64</v>
      </c>
      <c r="V379" s="66">
        <f t="shared" ref="V379:V384" si="231">P379</f>
        <v>117.7</v>
      </c>
      <c r="W379" s="38" t="s">
        <v>48</v>
      </c>
      <c r="X379" s="41">
        <v>9500</v>
      </c>
      <c r="Y379" s="43">
        <v>1</v>
      </c>
      <c r="Z379" s="41">
        <f t="shared" si="195"/>
        <v>1118150</v>
      </c>
      <c r="AA379" s="41">
        <f>P379*10000</f>
        <v>1177000</v>
      </c>
      <c r="AB379" s="41">
        <f t="shared" si="197"/>
        <v>21186000</v>
      </c>
      <c r="AC379" s="38"/>
      <c r="AD379" s="44">
        <f t="shared" si="189"/>
        <v>0</v>
      </c>
      <c r="AE379" s="41">
        <f t="shared" si="198"/>
        <v>30543150</v>
      </c>
      <c r="AF379" s="314"/>
      <c r="AG379" s="45"/>
      <c r="AH379" s="67"/>
      <c r="AI379" s="67"/>
      <c r="AJ379" s="67"/>
    </row>
    <row r="380" spans="1:36" s="68" customFormat="1" ht="48" customHeight="1">
      <c r="A380" s="308"/>
      <c r="B380" s="33" t="s">
        <v>443</v>
      </c>
      <c r="C380" s="50"/>
      <c r="D380" s="50"/>
      <c r="E380" s="51"/>
      <c r="F380" s="34" t="s">
        <v>446</v>
      </c>
      <c r="G380" s="34" t="s">
        <v>99</v>
      </c>
      <c r="H380" s="35">
        <v>117.7</v>
      </c>
      <c r="I380" s="34" t="s">
        <v>49</v>
      </c>
      <c r="J380" s="36" t="s">
        <v>242</v>
      </c>
      <c r="K380" s="37"/>
      <c r="L380" s="38"/>
      <c r="M380" s="38"/>
      <c r="N380" s="38"/>
      <c r="O380" s="38"/>
      <c r="P380" s="39">
        <f t="shared" si="188"/>
        <v>0</v>
      </c>
      <c r="Q380" s="311"/>
      <c r="R380" s="40"/>
      <c r="S380" s="41">
        <f t="shared" si="202"/>
        <v>0</v>
      </c>
      <c r="T380" s="41"/>
      <c r="U380" s="42" t="s">
        <v>220</v>
      </c>
      <c r="V380" s="66">
        <f t="shared" si="231"/>
        <v>0</v>
      </c>
      <c r="W380" s="38"/>
      <c r="X380" s="41"/>
      <c r="Y380" s="43"/>
      <c r="Z380" s="41">
        <f t="shared" si="195"/>
        <v>0</v>
      </c>
      <c r="AA380" s="41">
        <f t="shared" si="220"/>
        <v>0</v>
      </c>
      <c r="AB380" s="41">
        <f t="shared" si="197"/>
        <v>0</v>
      </c>
      <c r="AC380" s="38"/>
      <c r="AD380" s="44">
        <f t="shared" si="189"/>
        <v>0</v>
      </c>
      <c r="AE380" s="41">
        <f t="shared" si="198"/>
        <v>0</v>
      </c>
      <c r="AF380" s="314"/>
      <c r="AG380" s="45" t="s">
        <v>445</v>
      </c>
      <c r="AH380" s="67"/>
      <c r="AI380" s="67"/>
      <c r="AJ380" s="67"/>
    </row>
    <row r="381" spans="1:36" s="68" customFormat="1" ht="48" customHeight="1">
      <c r="A381" s="309"/>
      <c r="B381" s="33" t="s">
        <v>443</v>
      </c>
      <c r="C381" s="50"/>
      <c r="D381" s="50"/>
      <c r="E381" s="51"/>
      <c r="F381" s="34">
        <v>124</v>
      </c>
      <c r="G381" s="34" t="s">
        <v>99</v>
      </c>
      <c r="H381" s="35">
        <v>261.89999999999998</v>
      </c>
      <c r="I381" s="34" t="s">
        <v>55</v>
      </c>
      <c r="J381" s="36" t="s">
        <v>63</v>
      </c>
      <c r="K381" s="37"/>
      <c r="L381" s="38">
        <v>70.900000000000006</v>
      </c>
      <c r="M381" s="38"/>
      <c r="N381" s="38"/>
      <c r="O381" s="38"/>
      <c r="P381" s="39">
        <f t="shared" si="188"/>
        <v>70.900000000000006</v>
      </c>
      <c r="Q381" s="312"/>
      <c r="R381" s="40">
        <v>60000</v>
      </c>
      <c r="S381" s="41">
        <f t="shared" si="202"/>
        <v>4254000</v>
      </c>
      <c r="T381" s="41"/>
      <c r="U381" s="42" t="s">
        <v>64</v>
      </c>
      <c r="V381" s="66">
        <f t="shared" si="231"/>
        <v>70.900000000000006</v>
      </c>
      <c r="W381" s="38" t="s">
        <v>48</v>
      </c>
      <c r="X381" s="41">
        <v>9500</v>
      </c>
      <c r="Y381" s="43">
        <v>1</v>
      </c>
      <c r="Z381" s="41">
        <f t="shared" si="195"/>
        <v>673550</v>
      </c>
      <c r="AA381" s="41">
        <f t="shared" si="220"/>
        <v>709000</v>
      </c>
      <c r="AB381" s="41">
        <f t="shared" si="197"/>
        <v>12762000</v>
      </c>
      <c r="AC381" s="38"/>
      <c r="AD381" s="44">
        <f t="shared" si="189"/>
        <v>0</v>
      </c>
      <c r="AE381" s="41">
        <f t="shared" si="198"/>
        <v>18398550</v>
      </c>
      <c r="AF381" s="315"/>
      <c r="AG381" s="45"/>
      <c r="AH381" s="67"/>
      <c r="AI381" s="67"/>
      <c r="AJ381" s="67"/>
    </row>
    <row r="382" spans="1:36" s="68" customFormat="1" ht="48" customHeight="1">
      <c r="A382" s="307">
        <v>92</v>
      </c>
      <c r="B382" s="33" t="s">
        <v>447</v>
      </c>
      <c r="C382" s="50"/>
      <c r="D382" s="50"/>
      <c r="E382" s="51"/>
      <c r="F382" s="34" t="s">
        <v>448</v>
      </c>
      <c r="G382" s="34" t="s">
        <v>99</v>
      </c>
      <c r="H382" s="35">
        <v>432.9</v>
      </c>
      <c r="I382" s="34" t="s">
        <v>45</v>
      </c>
      <c r="J382" s="36" t="s">
        <v>46</v>
      </c>
      <c r="K382" s="37"/>
      <c r="L382" s="38">
        <v>432.9</v>
      </c>
      <c r="M382" s="38"/>
      <c r="N382" s="38"/>
      <c r="O382" s="38"/>
      <c r="P382" s="39">
        <f t="shared" si="188"/>
        <v>432.9</v>
      </c>
      <c r="Q382" s="310">
        <f>SUM(P382:P384)</f>
        <v>980.3</v>
      </c>
      <c r="R382" s="40">
        <v>60000</v>
      </c>
      <c r="S382" s="41">
        <f t="shared" si="202"/>
        <v>25974000</v>
      </c>
      <c r="T382" s="41"/>
      <c r="U382" s="42" t="s">
        <v>64</v>
      </c>
      <c r="V382" s="66">
        <f t="shared" si="231"/>
        <v>432.9</v>
      </c>
      <c r="W382" s="38" t="s">
        <v>48</v>
      </c>
      <c r="X382" s="41">
        <v>9500</v>
      </c>
      <c r="Y382" s="43">
        <v>1</v>
      </c>
      <c r="Z382" s="41">
        <f t="shared" si="195"/>
        <v>4112550</v>
      </c>
      <c r="AA382" s="41">
        <f t="shared" si="220"/>
        <v>4329000</v>
      </c>
      <c r="AB382" s="41">
        <f t="shared" si="197"/>
        <v>77922000</v>
      </c>
      <c r="AC382" s="38">
        <v>2</v>
      </c>
      <c r="AD382" s="44">
        <f t="shared" si="189"/>
        <v>7000000</v>
      </c>
      <c r="AE382" s="41">
        <f t="shared" si="198"/>
        <v>119337550</v>
      </c>
      <c r="AF382" s="313">
        <f>SUM(AE382:AE384)</f>
        <v>270266700</v>
      </c>
      <c r="AG382" s="81">
        <f>Q382*40000</f>
        <v>39212000</v>
      </c>
      <c r="AH382" s="67"/>
      <c r="AI382" s="67"/>
      <c r="AJ382" s="67"/>
    </row>
    <row r="383" spans="1:36" s="68" customFormat="1" ht="48" customHeight="1">
      <c r="A383" s="308"/>
      <c r="B383" s="33" t="s">
        <v>447</v>
      </c>
      <c r="C383" s="50">
        <v>10</v>
      </c>
      <c r="D383" s="50">
        <v>4</v>
      </c>
      <c r="E383" s="51">
        <v>480</v>
      </c>
      <c r="F383" s="34" t="s">
        <v>449</v>
      </c>
      <c r="G383" s="34" t="s">
        <v>96</v>
      </c>
      <c r="H383" s="35">
        <v>534.1</v>
      </c>
      <c r="I383" s="34" t="s">
        <v>45</v>
      </c>
      <c r="J383" s="36" t="s">
        <v>54</v>
      </c>
      <c r="K383" s="37">
        <f t="shared" si="174"/>
        <v>480</v>
      </c>
      <c r="L383" s="38">
        <f t="shared" si="225"/>
        <v>54.100000000000023</v>
      </c>
      <c r="M383" s="38"/>
      <c r="N383" s="38"/>
      <c r="O383" s="38"/>
      <c r="P383" s="39">
        <f t="shared" si="188"/>
        <v>534.1</v>
      </c>
      <c r="Q383" s="311"/>
      <c r="R383" s="40">
        <v>60000</v>
      </c>
      <c r="S383" s="41">
        <f t="shared" si="202"/>
        <v>32046000</v>
      </c>
      <c r="T383" s="41"/>
      <c r="U383" s="42" t="s">
        <v>421</v>
      </c>
      <c r="V383" s="66">
        <v>107</v>
      </c>
      <c r="W383" s="38" t="s">
        <v>52</v>
      </c>
      <c r="X383" s="41">
        <v>163000</v>
      </c>
      <c r="Y383" s="43">
        <v>0.8</v>
      </c>
      <c r="Z383" s="41">
        <f t="shared" si="195"/>
        <v>13952800</v>
      </c>
      <c r="AA383" s="41">
        <f t="shared" si="220"/>
        <v>5341000</v>
      </c>
      <c r="AB383" s="41">
        <f t="shared" si="197"/>
        <v>96138000</v>
      </c>
      <c r="AC383" s="38"/>
      <c r="AD383" s="44">
        <f t="shared" si="189"/>
        <v>0</v>
      </c>
      <c r="AE383" s="41">
        <f t="shared" si="198"/>
        <v>147477800</v>
      </c>
      <c r="AF383" s="314"/>
      <c r="AG383" s="45">
        <v>245562300</v>
      </c>
      <c r="AH383" s="67"/>
      <c r="AI383" s="67"/>
      <c r="AJ383" s="67"/>
    </row>
    <row r="384" spans="1:36" s="68" customFormat="1" ht="48" customHeight="1">
      <c r="A384" s="309"/>
      <c r="B384" s="33" t="s">
        <v>447</v>
      </c>
      <c r="C384" s="50">
        <v>182</v>
      </c>
      <c r="D384" s="50">
        <v>5</v>
      </c>
      <c r="E384" s="51">
        <v>288</v>
      </c>
      <c r="F384" s="34" t="s">
        <v>450</v>
      </c>
      <c r="G384" s="34" t="s">
        <v>99</v>
      </c>
      <c r="H384" s="35">
        <v>337.7</v>
      </c>
      <c r="I384" s="34" t="s">
        <v>49</v>
      </c>
      <c r="J384" s="36" t="s">
        <v>410</v>
      </c>
      <c r="K384" s="37">
        <v>13.3</v>
      </c>
      <c r="L384" s="38"/>
      <c r="M384" s="38"/>
      <c r="N384" s="38"/>
      <c r="O384" s="38"/>
      <c r="P384" s="39">
        <f t="shared" si="188"/>
        <v>13.3</v>
      </c>
      <c r="Q384" s="312"/>
      <c r="R384" s="40">
        <v>60000</v>
      </c>
      <c r="S384" s="41">
        <f t="shared" si="202"/>
        <v>798000</v>
      </c>
      <c r="T384" s="41"/>
      <c r="U384" s="42" t="s">
        <v>64</v>
      </c>
      <c r="V384" s="66">
        <f t="shared" si="231"/>
        <v>13.3</v>
      </c>
      <c r="W384" s="38" t="s">
        <v>48</v>
      </c>
      <c r="X384" s="41">
        <v>9500</v>
      </c>
      <c r="Y384" s="43">
        <v>1</v>
      </c>
      <c r="Z384" s="41">
        <f t="shared" si="195"/>
        <v>126350</v>
      </c>
      <c r="AA384" s="41">
        <f t="shared" si="220"/>
        <v>133000</v>
      </c>
      <c r="AB384" s="41">
        <f t="shared" si="197"/>
        <v>2394000</v>
      </c>
      <c r="AC384" s="38"/>
      <c r="AD384" s="44">
        <f t="shared" si="189"/>
        <v>0</v>
      </c>
      <c r="AE384" s="41">
        <f t="shared" si="198"/>
        <v>3451350</v>
      </c>
      <c r="AF384" s="315"/>
      <c r="AG384" s="45">
        <v>24704400</v>
      </c>
      <c r="AH384" s="67"/>
      <c r="AI384" s="67"/>
      <c r="AJ384" s="67"/>
    </row>
    <row r="385" spans="1:37" s="68" customFormat="1" ht="54.75" customHeight="1">
      <c r="A385" s="307">
        <v>93</v>
      </c>
      <c r="B385" s="33" t="s">
        <v>452</v>
      </c>
      <c r="C385" s="50"/>
      <c r="D385" s="50"/>
      <c r="E385" s="51"/>
      <c r="F385" s="34">
        <v>201</v>
      </c>
      <c r="G385" s="34">
        <v>28</v>
      </c>
      <c r="H385" s="35">
        <v>334.6</v>
      </c>
      <c r="I385" s="34" t="s">
        <v>45</v>
      </c>
      <c r="J385" s="36" t="s">
        <v>46</v>
      </c>
      <c r="K385" s="37"/>
      <c r="L385" s="38">
        <v>334.6</v>
      </c>
      <c r="M385" s="38"/>
      <c r="N385" s="38"/>
      <c r="O385" s="38"/>
      <c r="P385" s="39">
        <f t="shared" si="188"/>
        <v>334.6</v>
      </c>
      <c r="Q385" s="310">
        <f>SUM(P385:P390)</f>
        <v>601.90000000000009</v>
      </c>
      <c r="R385" s="40">
        <v>60000</v>
      </c>
      <c r="S385" s="41">
        <f t="shared" si="202"/>
        <v>20076000</v>
      </c>
      <c r="T385" s="41"/>
      <c r="U385" s="42" t="s">
        <v>47</v>
      </c>
      <c r="V385" s="66">
        <f>P385-54</f>
        <v>280.60000000000002</v>
      </c>
      <c r="W385" s="38" t="s">
        <v>48</v>
      </c>
      <c r="X385" s="41">
        <v>9500</v>
      </c>
      <c r="Y385" s="43">
        <v>1</v>
      </c>
      <c r="Z385" s="41">
        <f t="shared" si="195"/>
        <v>2665700</v>
      </c>
      <c r="AA385" s="41">
        <f t="shared" si="220"/>
        <v>3346000</v>
      </c>
      <c r="AB385" s="41">
        <f>P385*R385*3</f>
        <v>60228000</v>
      </c>
      <c r="AC385" s="38">
        <v>1</v>
      </c>
      <c r="AD385" s="44">
        <f t="shared" si="189"/>
        <v>3500000</v>
      </c>
      <c r="AE385" s="41">
        <f t="shared" si="198"/>
        <v>89815700</v>
      </c>
      <c r="AF385" s="313">
        <f>SUM(AE385:AE390)</f>
        <v>162843050</v>
      </c>
      <c r="AG385" s="81">
        <f>40000*Q385</f>
        <v>24076000.000000004</v>
      </c>
      <c r="AH385" s="319" t="s">
        <v>453</v>
      </c>
      <c r="AI385" s="67"/>
      <c r="AJ385" s="67"/>
      <c r="AK385" s="67"/>
    </row>
    <row r="386" spans="1:37" s="68" customFormat="1" ht="54.75" customHeight="1">
      <c r="A386" s="308"/>
      <c r="B386" s="33" t="s">
        <v>452</v>
      </c>
      <c r="C386" s="50"/>
      <c r="D386" s="50"/>
      <c r="E386" s="51"/>
      <c r="F386" s="34">
        <v>201</v>
      </c>
      <c r="G386" s="34">
        <v>28</v>
      </c>
      <c r="H386" s="35">
        <v>334.6</v>
      </c>
      <c r="I386" s="34" t="s">
        <v>45</v>
      </c>
      <c r="J386" s="36" t="s">
        <v>46</v>
      </c>
      <c r="K386" s="37"/>
      <c r="L386" s="38"/>
      <c r="M386" s="38"/>
      <c r="N386" s="38"/>
      <c r="O386" s="38"/>
      <c r="P386" s="39">
        <f t="shared" si="188"/>
        <v>0</v>
      </c>
      <c r="Q386" s="311"/>
      <c r="R386" s="40"/>
      <c r="S386" s="41"/>
      <c r="T386" s="41"/>
      <c r="U386" s="42" t="s">
        <v>454</v>
      </c>
      <c r="V386" s="66">
        <v>54</v>
      </c>
      <c r="W386" s="38" t="s">
        <v>52</v>
      </c>
      <c r="X386" s="41">
        <v>44500</v>
      </c>
      <c r="Y386" s="43">
        <v>1</v>
      </c>
      <c r="Z386" s="41">
        <f>V386*X386*Y386</f>
        <v>2403000</v>
      </c>
      <c r="AA386" s="41"/>
      <c r="AB386" s="41"/>
      <c r="AC386" s="38"/>
      <c r="AD386" s="44">
        <f t="shared" si="189"/>
        <v>0</v>
      </c>
      <c r="AE386" s="41">
        <f t="shared" si="198"/>
        <v>2403000</v>
      </c>
      <c r="AF386" s="314"/>
      <c r="AG386" s="45" t="s">
        <v>70</v>
      </c>
      <c r="AH386" s="318"/>
      <c r="AI386" s="67"/>
      <c r="AJ386" s="67"/>
      <c r="AK386" s="67"/>
    </row>
    <row r="387" spans="1:37" s="68" customFormat="1" ht="54.75" customHeight="1">
      <c r="A387" s="308"/>
      <c r="B387" s="33" t="s">
        <v>452</v>
      </c>
      <c r="C387" s="50">
        <v>117</v>
      </c>
      <c r="D387" s="50">
        <v>4</v>
      </c>
      <c r="E387" s="51">
        <v>168</v>
      </c>
      <c r="F387" s="34">
        <v>389</v>
      </c>
      <c r="G387" s="34">
        <v>28</v>
      </c>
      <c r="H387" s="35">
        <v>183.1</v>
      </c>
      <c r="I387" s="34" t="s">
        <v>49</v>
      </c>
      <c r="J387" s="36" t="s">
        <v>57</v>
      </c>
      <c r="K387" s="37">
        <f t="shared" ref="K387" si="232">E387</f>
        <v>168</v>
      </c>
      <c r="L387" s="38">
        <f>H387-E387</f>
        <v>15.099999999999994</v>
      </c>
      <c r="M387" s="38"/>
      <c r="N387" s="38"/>
      <c r="O387" s="38"/>
      <c r="P387" s="39">
        <f t="shared" si="188"/>
        <v>183.1</v>
      </c>
      <c r="Q387" s="311"/>
      <c r="R387" s="40">
        <v>60000</v>
      </c>
      <c r="S387" s="41">
        <f>P387*R387</f>
        <v>10986000</v>
      </c>
      <c r="T387" s="41"/>
      <c r="U387" s="42" t="s">
        <v>47</v>
      </c>
      <c r="V387" s="66">
        <f>P387-26</f>
        <v>157.1</v>
      </c>
      <c r="W387" s="38" t="s">
        <v>48</v>
      </c>
      <c r="X387" s="41">
        <v>9500</v>
      </c>
      <c r="Y387" s="43">
        <v>1</v>
      </c>
      <c r="Z387" s="41">
        <f t="shared" si="195"/>
        <v>1492450</v>
      </c>
      <c r="AA387" s="41">
        <f>P387*10000</f>
        <v>1831000</v>
      </c>
      <c r="AB387" s="41">
        <f t="shared" ref="AB387:AB436" si="233">P387*R387*3</f>
        <v>32958000</v>
      </c>
      <c r="AC387" s="38"/>
      <c r="AD387" s="44">
        <f t="shared" si="189"/>
        <v>0</v>
      </c>
      <c r="AE387" s="41">
        <f t="shared" si="198"/>
        <v>47267450</v>
      </c>
      <c r="AF387" s="314"/>
      <c r="AG387" s="45"/>
      <c r="AH387" s="318"/>
      <c r="AI387" s="67"/>
      <c r="AJ387" s="67"/>
      <c r="AK387" s="67"/>
    </row>
    <row r="388" spans="1:37" s="68" customFormat="1" ht="54.75" customHeight="1">
      <c r="A388" s="308"/>
      <c r="B388" s="33" t="s">
        <v>452</v>
      </c>
      <c r="C388" s="50"/>
      <c r="D388" s="50"/>
      <c r="E388" s="51"/>
      <c r="F388" s="34">
        <v>389</v>
      </c>
      <c r="G388" s="34">
        <v>28</v>
      </c>
      <c r="H388" s="35">
        <v>183.1</v>
      </c>
      <c r="I388" s="34" t="s">
        <v>49</v>
      </c>
      <c r="J388" s="36" t="s">
        <v>57</v>
      </c>
      <c r="K388" s="37"/>
      <c r="L388" s="38"/>
      <c r="M388" s="38"/>
      <c r="N388" s="38"/>
      <c r="O388" s="38"/>
      <c r="P388" s="39">
        <f t="shared" si="188"/>
        <v>0</v>
      </c>
      <c r="Q388" s="311"/>
      <c r="R388" s="40"/>
      <c r="S388" s="41"/>
      <c r="T388" s="41"/>
      <c r="U388" s="42" t="s">
        <v>454</v>
      </c>
      <c r="V388" s="66">
        <v>26</v>
      </c>
      <c r="W388" s="38" t="s">
        <v>52</v>
      </c>
      <c r="X388" s="41">
        <v>44500</v>
      </c>
      <c r="Y388" s="43">
        <v>1</v>
      </c>
      <c r="Z388" s="41">
        <f>V388*X388*Y388</f>
        <v>1157000</v>
      </c>
      <c r="AA388" s="41"/>
      <c r="AB388" s="41"/>
      <c r="AC388" s="38"/>
      <c r="AD388" s="44">
        <f t="shared" si="189"/>
        <v>0</v>
      </c>
      <c r="AE388" s="41">
        <f t="shared" si="198"/>
        <v>1157000</v>
      </c>
      <c r="AF388" s="314"/>
      <c r="AG388" s="45" t="s">
        <v>70</v>
      </c>
      <c r="AH388" s="318"/>
      <c r="AI388" s="67"/>
      <c r="AJ388" s="67"/>
      <c r="AK388" s="67"/>
    </row>
    <row r="389" spans="1:37" s="68" customFormat="1" ht="54.75" customHeight="1">
      <c r="A389" s="308"/>
      <c r="B389" s="33" t="s">
        <v>452</v>
      </c>
      <c r="C389" s="50"/>
      <c r="D389" s="50"/>
      <c r="E389" s="51"/>
      <c r="F389" s="34">
        <v>861</v>
      </c>
      <c r="G389" s="34">
        <v>28</v>
      </c>
      <c r="H389" s="35">
        <v>84.2</v>
      </c>
      <c r="I389" s="34" t="s">
        <v>55</v>
      </c>
      <c r="J389" s="36" t="s">
        <v>60</v>
      </c>
      <c r="K389" s="37"/>
      <c r="L389" s="38">
        <f>H389-E389</f>
        <v>84.2</v>
      </c>
      <c r="M389" s="38"/>
      <c r="N389" s="38"/>
      <c r="O389" s="38"/>
      <c r="P389" s="39">
        <f t="shared" si="188"/>
        <v>84.2</v>
      </c>
      <c r="Q389" s="311"/>
      <c r="R389" s="40">
        <v>60000</v>
      </c>
      <c r="S389" s="41">
        <f>P389*R389</f>
        <v>5052000</v>
      </c>
      <c r="T389" s="41"/>
      <c r="U389" s="42" t="s">
        <v>47</v>
      </c>
      <c r="V389" s="66">
        <f>P389-10</f>
        <v>74.2</v>
      </c>
      <c r="W389" s="38" t="s">
        <v>48</v>
      </c>
      <c r="X389" s="41">
        <v>9500</v>
      </c>
      <c r="Y389" s="43">
        <v>1</v>
      </c>
      <c r="Z389" s="41">
        <f t="shared" si="195"/>
        <v>704900</v>
      </c>
      <c r="AA389" s="41">
        <f>P389*10000</f>
        <v>842000</v>
      </c>
      <c r="AB389" s="41">
        <f t="shared" si="233"/>
        <v>15156000</v>
      </c>
      <c r="AC389" s="38"/>
      <c r="AD389" s="44">
        <f t="shared" si="189"/>
        <v>0</v>
      </c>
      <c r="AE389" s="41">
        <f t="shared" si="198"/>
        <v>21754900</v>
      </c>
      <c r="AF389" s="314"/>
      <c r="AG389" s="45"/>
      <c r="AH389" s="318"/>
      <c r="AI389" s="67"/>
      <c r="AJ389" s="67"/>
      <c r="AK389" s="67"/>
    </row>
    <row r="390" spans="1:37" s="68" customFormat="1" ht="54.75" customHeight="1">
      <c r="A390" s="309"/>
      <c r="B390" s="33" t="s">
        <v>452</v>
      </c>
      <c r="C390" s="50"/>
      <c r="D390" s="50"/>
      <c r="E390" s="51"/>
      <c r="F390" s="34">
        <v>861</v>
      </c>
      <c r="G390" s="34">
        <v>28</v>
      </c>
      <c r="H390" s="35">
        <v>84.2</v>
      </c>
      <c r="I390" s="34" t="s">
        <v>55</v>
      </c>
      <c r="J390" s="36" t="s">
        <v>60</v>
      </c>
      <c r="K390" s="37"/>
      <c r="L390" s="38"/>
      <c r="M390" s="38"/>
      <c r="N390" s="38"/>
      <c r="O390" s="38"/>
      <c r="P390" s="39">
        <f t="shared" si="188"/>
        <v>0</v>
      </c>
      <c r="Q390" s="312"/>
      <c r="R390" s="40"/>
      <c r="S390" s="41"/>
      <c r="T390" s="41"/>
      <c r="U390" s="42" t="s">
        <v>454</v>
      </c>
      <c r="V390" s="66">
        <v>10</v>
      </c>
      <c r="W390" s="38" t="s">
        <v>52</v>
      </c>
      <c r="X390" s="41">
        <v>44500</v>
      </c>
      <c r="Y390" s="43">
        <v>1</v>
      </c>
      <c r="Z390" s="41">
        <f>V390*X390*Y390</f>
        <v>445000</v>
      </c>
      <c r="AA390" s="41"/>
      <c r="AB390" s="41"/>
      <c r="AC390" s="38"/>
      <c r="AD390" s="44">
        <f t="shared" si="189"/>
        <v>0</v>
      </c>
      <c r="AE390" s="41">
        <f t="shared" si="198"/>
        <v>445000</v>
      </c>
      <c r="AF390" s="315"/>
      <c r="AG390" s="45" t="s">
        <v>70</v>
      </c>
      <c r="AH390" s="318"/>
      <c r="AI390" s="67"/>
      <c r="AJ390" s="67"/>
      <c r="AK390" s="67"/>
    </row>
    <row r="391" spans="1:37" s="47" customFormat="1" ht="49.5" customHeight="1">
      <c r="A391" s="307">
        <v>94</v>
      </c>
      <c r="B391" s="33" t="s">
        <v>455</v>
      </c>
      <c r="C391" s="50">
        <v>199</v>
      </c>
      <c r="D391" s="50">
        <v>5</v>
      </c>
      <c r="E391" s="51">
        <v>96</v>
      </c>
      <c r="F391" s="34">
        <v>131</v>
      </c>
      <c r="G391" s="34">
        <v>28</v>
      </c>
      <c r="H391" s="35">
        <v>151.30000000000001</v>
      </c>
      <c r="I391" s="34" t="s">
        <v>49</v>
      </c>
      <c r="J391" s="36" t="s">
        <v>50</v>
      </c>
      <c r="K391" s="37">
        <f t="shared" ref="K391:K400" si="234">E391</f>
        <v>96</v>
      </c>
      <c r="L391" s="38">
        <f>151.3-96</f>
        <v>55.300000000000011</v>
      </c>
      <c r="M391" s="38"/>
      <c r="N391" s="38"/>
      <c r="O391" s="38"/>
      <c r="P391" s="39">
        <f t="shared" si="188"/>
        <v>151.30000000000001</v>
      </c>
      <c r="Q391" s="310">
        <f>P391</f>
        <v>151.30000000000001</v>
      </c>
      <c r="R391" s="40">
        <v>60000</v>
      </c>
      <c r="S391" s="41">
        <f>P391*R391</f>
        <v>9078000</v>
      </c>
      <c r="T391" s="41"/>
      <c r="U391" s="42" t="s">
        <v>456</v>
      </c>
      <c r="V391" s="60">
        <v>12</v>
      </c>
      <c r="W391" s="38" t="s">
        <v>52</v>
      </c>
      <c r="X391" s="41">
        <v>163000</v>
      </c>
      <c r="Y391" s="43">
        <v>0.8</v>
      </c>
      <c r="Z391" s="41">
        <f t="shared" si="195"/>
        <v>1564800</v>
      </c>
      <c r="AA391" s="41">
        <f>P391*10000</f>
        <v>1513000</v>
      </c>
      <c r="AB391" s="41">
        <f t="shared" si="233"/>
        <v>27234000</v>
      </c>
      <c r="AC391" s="38"/>
      <c r="AD391" s="44">
        <f t="shared" si="189"/>
        <v>0</v>
      </c>
      <c r="AE391" s="41">
        <f t="shared" si="198"/>
        <v>39389800</v>
      </c>
      <c r="AF391" s="317">
        <f>SUM(AE391:AE393)</f>
        <v>41089000</v>
      </c>
      <c r="AG391" s="50"/>
      <c r="AH391" s="251"/>
      <c r="AI391" s="46"/>
      <c r="AJ391" s="46"/>
      <c r="AK391" s="46"/>
    </row>
    <row r="392" spans="1:37" s="47" customFormat="1" ht="54.75" customHeight="1">
      <c r="A392" s="308"/>
      <c r="B392" s="33" t="s">
        <v>455</v>
      </c>
      <c r="C392" s="50"/>
      <c r="D392" s="50"/>
      <c r="E392" s="51"/>
      <c r="F392" s="34">
        <v>131</v>
      </c>
      <c r="G392" s="34">
        <v>28</v>
      </c>
      <c r="H392" s="35">
        <v>151.30000000000001</v>
      </c>
      <c r="I392" s="34" t="s">
        <v>49</v>
      </c>
      <c r="J392" s="36" t="s">
        <v>50</v>
      </c>
      <c r="K392" s="37"/>
      <c r="L392" s="38"/>
      <c r="M392" s="38"/>
      <c r="N392" s="38"/>
      <c r="O392" s="38"/>
      <c r="P392" s="39">
        <f t="shared" si="188"/>
        <v>0</v>
      </c>
      <c r="Q392" s="311"/>
      <c r="R392" s="40"/>
      <c r="S392" s="41">
        <f t="shared" si="202"/>
        <v>0</v>
      </c>
      <c r="T392" s="41"/>
      <c r="U392" s="42" t="s">
        <v>342</v>
      </c>
      <c r="V392" s="60">
        <v>18</v>
      </c>
      <c r="W392" s="38" t="s">
        <v>52</v>
      </c>
      <c r="X392" s="41">
        <v>118000</v>
      </c>
      <c r="Y392" s="43">
        <v>0.8</v>
      </c>
      <c r="Z392" s="41">
        <f t="shared" si="195"/>
        <v>1699200</v>
      </c>
      <c r="AA392" s="41">
        <f t="shared" ref="AA392:AA434" si="235">P392*10000</f>
        <v>0</v>
      </c>
      <c r="AB392" s="41">
        <f t="shared" si="233"/>
        <v>0</v>
      </c>
      <c r="AC392" s="38"/>
      <c r="AD392" s="44">
        <f t="shared" si="189"/>
        <v>0</v>
      </c>
      <c r="AE392" s="41">
        <f t="shared" si="198"/>
        <v>1699200</v>
      </c>
      <c r="AF392" s="317"/>
      <c r="AG392" s="50"/>
      <c r="AH392" s="251"/>
      <c r="AI392" s="46"/>
      <c r="AJ392" s="46"/>
      <c r="AK392" s="46"/>
    </row>
    <row r="393" spans="1:37" s="47" customFormat="1" ht="54.75" customHeight="1">
      <c r="A393" s="309"/>
      <c r="B393" s="33" t="s">
        <v>455</v>
      </c>
      <c r="C393" s="50"/>
      <c r="D393" s="50"/>
      <c r="E393" s="51"/>
      <c r="F393" s="34">
        <v>131</v>
      </c>
      <c r="G393" s="34">
        <v>28</v>
      </c>
      <c r="H393" s="35">
        <v>151.30000000000001</v>
      </c>
      <c r="I393" s="34" t="s">
        <v>49</v>
      </c>
      <c r="J393" s="36" t="s">
        <v>50</v>
      </c>
      <c r="K393" s="37"/>
      <c r="L393" s="38"/>
      <c r="M393" s="38"/>
      <c r="N393" s="38"/>
      <c r="O393" s="38"/>
      <c r="P393" s="39">
        <f t="shared" si="188"/>
        <v>0</v>
      </c>
      <c r="Q393" s="312"/>
      <c r="R393" s="40"/>
      <c r="S393" s="41">
        <f t="shared" si="202"/>
        <v>0</v>
      </c>
      <c r="T393" s="41"/>
      <c r="U393" s="42" t="s">
        <v>342</v>
      </c>
      <c r="V393" s="60">
        <v>75</v>
      </c>
      <c r="W393" s="38" t="s">
        <v>52</v>
      </c>
      <c r="X393" s="41"/>
      <c r="Y393" s="43">
        <v>0</v>
      </c>
      <c r="Z393" s="41">
        <f t="shared" si="195"/>
        <v>0</v>
      </c>
      <c r="AA393" s="41">
        <f t="shared" si="235"/>
        <v>0</v>
      </c>
      <c r="AB393" s="41">
        <f t="shared" si="233"/>
        <v>0</v>
      </c>
      <c r="AC393" s="38"/>
      <c r="AD393" s="44">
        <f t="shared" si="189"/>
        <v>0</v>
      </c>
      <c r="AE393" s="41">
        <f t="shared" si="198"/>
        <v>0</v>
      </c>
      <c r="AF393" s="317"/>
      <c r="AG393" s="50" t="s">
        <v>53</v>
      </c>
      <c r="AH393" s="251"/>
      <c r="AI393" s="46"/>
      <c r="AJ393" s="46"/>
      <c r="AK393" s="46"/>
    </row>
    <row r="394" spans="1:37" s="47" customFormat="1" ht="54.75" customHeight="1">
      <c r="A394" s="307">
        <v>95</v>
      </c>
      <c r="B394" s="33" t="s">
        <v>457</v>
      </c>
      <c r="C394" s="50">
        <v>144</v>
      </c>
      <c r="D394" s="50">
        <v>4</v>
      </c>
      <c r="E394" s="51">
        <v>162</v>
      </c>
      <c r="F394" s="34">
        <v>470</v>
      </c>
      <c r="G394" s="34">
        <v>28</v>
      </c>
      <c r="H394" s="35">
        <v>157.69999999999999</v>
      </c>
      <c r="I394" s="34" t="s">
        <v>49</v>
      </c>
      <c r="J394" s="36" t="s">
        <v>57</v>
      </c>
      <c r="K394" s="37">
        <v>157.69999999999999</v>
      </c>
      <c r="L394" s="38"/>
      <c r="M394" s="38"/>
      <c r="N394" s="38"/>
      <c r="O394" s="38"/>
      <c r="P394" s="39">
        <f t="shared" si="188"/>
        <v>157.69999999999999</v>
      </c>
      <c r="Q394" s="310">
        <f>P394+P395</f>
        <v>157.69999999999999</v>
      </c>
      <c r="R394" s="40">
        <v>60000</v>
      </c>
      <c r="S394" s="41">
        <f>P394*R394</f>
        <v>9462000</v>
      </c>
      <c r="T394" s="41"/>
      <c r="U394" s="42" t="s">
        <v>64</v>
      </c>
      <c r="V394" s="66">
        <f t="shared" ref="V394" si="236">P394</f>
        <v>157.69999999999999</v>
      </c>
      <c r="W394" s="38" t="s">
        <v>48</v>
      </c>
      <c r="X394" s="41">
        <v>9500</v>
      </c>
      <c r="Y394" s="43">
        <v>1</v>
      </c>
      <c r="Z394" s="41">
        <f t="shared" si="195"/>
        <v>1498150</v>
      </c>
      <c r="AA394" s="41">
        <f>P394*10000</f>
        <v>1577000</v>
      </c>
      <c r="AB394" s="41">
        <f t="shared" si="233"/>
        <v>28386000</v>
      </c>
      <c r="AC394" s="38"/>
      <c r="AD394" s="44">
        <f t="shared" si="189"/>
        <v>0</v>
      </c>
      <c r="AE394" s="41">
        <f t="shared" si="198"/>
        <v>40923150</v>
      </c>
      <c r="AF394" s="313">
        <f>AE394</f>
        <v>40923150</v>
      </c>
      <c r="AG394" s="45"/>
      <c r="AH394" s="319" t="s">
        <v>458</v>
      </c>
      <c r="AI394" s="46"/>
      <c r="AJ394" s="46"/>
      <c r="AK394" s="46"/>
    </row>
    <row r="395" spans="1:37" s="47" customFormat="1" ht="54.75" customHeight="1">
      <c r="A395" s="309"/>
      <c r="B395" s="33" t="s">
        <v>457</v>
      </c>
      <c r="C395" s="50">
        <v>144</v>
      </c>
      <c r="D395" s="50">
        <v>4</v>
      </c>
      <c r="E395" s="51">
        <v>162</v>
      </c>
      <c r="F395" s="34">
        <v>470</v>
      </c>
      <c r="G395" s="34">
        <v>28</v>
      </c>
      <c r="H395" s="35">
        <v>157.69999999999999</v>
      </c>
      <c r="I395" s="34" t="s">
        <v>49</v>
      </c>
      <c r="J395" s="36" t="s">
        <v>57</v>
      </c>
      <c r="K395" s="37"/>
      <c r="L395" s="38"/>
      <c r="M395" s="38"/>
      <c r="N395" s="38"/>
      <c r="O395" s="38"/>
      <c r="P395" s="39">
        <f t="shared" si="188"/>
        <v>0</v>
      </c>
      <c r="Q395" s="312"/>
      <c r="R395" s="40"/>
      <c r="S395" s="41">
        <f t="shared" si="202"/>
        <v>0</v>
      </c>
      <c r="T395" s="41"/>
      <c r="U395" s="42" t="s">
        <v>459</v>
      </c>
      <c r="V395" s="60">
        <v>13</v>
      </c>
      <c r="W395" s="38" t="s">
        <v>52</v>
      </c>
      <c r="X395" s="41"/>
      <c r="Y395" s="43">
        <v>0</v>
      </c>
      <c r="Z395" s="41">
        <f t="shared" si="195"/>
        <v>0</v>
      </c>
      <c r="AA395" s="41">
        <f t="shared" si="235"/>
        <v>0</v>
      </c>
      <c r="AB395" s="41">
        <f t="shared" si="233"/>
        <v>0</v>
      </c>
      <c r="AC395" s="38"/>
      <c r="AD395" s="44">
        <f t="shared" si="189"/>
        <v>0</v>
      </c>
      <c r="AE395" s="41">
        <f t="shared" si="198"/>
        <v>0</v>
      </c>
      <c r="AF395" s="315"/>
      <c r="AG395" s="45" t="s">
        <v>113</v>
      </c>
      <c r="AH395" s="318"/>
      <c r="AI395" s="46"/>
      <c r="AJ395" s="46"/>
      <c r="AK395" s="46"/>
    </row>
    <row r="396" spans="1:37" s="47" customFormat="1" ht="54.75" customHeight="1">
      <c r="A396" s="307">
        <v>96</v>
      </c>
      <c r="B396" s="33" t="s">
        <v>460</v>
      </c>
      <c r="C396" s="50">
        <v>204</v>
      </c>
      <c r="D396" s="50">
        <v>5</v>
      </c>
      <c r="E396" s="51">
        <v>360</v>
      </c>
      <c r="F396" s="34">
        <v>77</v>
      </c>
      <c r="G396" s="34" t="s">
        <v>99</v>
      </c>
      <c r="H396" s="35">
        <v>442.5</v>
      </c>
      <c r="I396" s="34" t="s">
        <v>49</v>
      </c>
      <c r="J396" s="36" t="s">
        <v>461</v>
      </c>
      <c r="K396" s="37">
        <f t="shared" si="234"/>
        <v>360</v>
      </c>
      <c r="L396" s="38">
        <f>H396-K396</f>
        <v>82.5</v>
      </c>
      <c r="M396" s="38"/>
      <c r="N396" s="38"/>
      <c r="O396" s="38"/>
      <c r="P396" s="39">
        <f t="shared" ref="P396:P459" si="237">SUM(K396:O396)</f>
        <v>442.5</v>
      </c>
      <c r="Q396" s="310">
        <f>SUM(P396:P399)</f>
        <v>1010.5</v>
      </c>
      <c r="R396" s="40">
        <v>60000</v>
      </c>
      <c r="S396" s="41">
        <f t="shared" si="202"/>
        <v>26550000</v>
      </c>
      <c r="T396" s="41"/>
      <c r="U396" s="42" t="s">
        <v>90</v>
      </c>
      <c r="V396" s="66">
        <v>88</v>
      </c>
      <c r="W396" s="38" t="s">
        <v>52</v>
      </c>
      <c r="X396" s="41">
        <v>300000</v>
      </c>
      <c r="Y396" s="43">
        <v>0.8</v>
      </c>
      <c r="Z396" s="41">
        <f>V396*X396*Y396</f>
        <v>21120000</v>
      </c>
      <c r="AA396" s="41">
        <f t="shared" si="235"/>
        <v>4425000</v>
      </c>
      <c r="AB396" s="41">
        <f t="shared" si="233"/>
        <v>79650000</v>
      </c>
      <c r="AC396" s="38">
        <v>2</v>
      </c>
      <c r="AD396" s="44">
        <f t="shared" ref="AD396:AD459" si="238">AC396*3500000</f>
        <v>7000000</v>
      </c>
      <c r="AE396" s="41">
        <f t="shared" si="198"/>
        <v>138745000</v>
      </c>
      <c r="AF396" s="313">
        <f>SUM(AE396:AE399)</f>
        <v>286141000</v>
      </c>
      <c r="AG396" s="45"/>
      <c r="AH396" s="318"/>
      <c r="AI396" s="46"/>
      <c r="AJ396" s="46"/>
      <c r="AK396" s="46"/>
    </row>
    <row r="397" spans="1:37" s="47" customFormat="1" ht="54.75" customHeight="1">
      <c r="A397" s="308"/>
      <c r="B397" s="33" t="s">
        <v>460</v>
      </c>
      <c r="C397" s="50"/>
      <c r="D397" s="50"/>
      <c r="E397" s="51"/>
      <c r="F397" s="34">
        <v>77</v>
      </c>
      <c r="G397" s="34" t="s">
        <v>99</v>
      </c>
      <c r="H397" s="35">
        <v>442.5</v>
      </c>
      <c r="I397" s="34" t="s">
        <v>49</v>
      </c>
      <c r="J397" s="36" t="s">
        <v>461</v>
      </c>
      <c r="K397" s="37"/>
      <c r="L397" s="38"/>
      <c r="M397" s="38"/>
      <c r="N397" s="38"/>
      <c r="O397" s="38"/>
      <c r="P397" s="39">
        <f t="shared" si="237"/>
        <v>0</v>
      </c>
      <c r="Q397" s="311"/>
      <c r="R397" s="40">
        <v>60000</v>
      </c>
      <c r="S397" s="41">
        <f t="shared" si="202"/>
        <v>0</v>
      </c>
      <c r="T397" s="41"/>
      <c r="U397" s="42" t="s">
        <v>90</v>
      </c>
      <c r="V397" s="66">
        <f>135-88</f>
        <v>47</v>
      </c>
      <c r="W397" s="38" t="s">
        <v>52</v>
      </c>
      <c r="X397" s="41"/>
      <c r="Y397" s="43"/>
      <c r="Z397" s="41">
        <f t="shared" si="195"/>
        <v>0</v>
      </c>
      <c r="AA397" s="41">
        <f t="shared" si="235"/>
        <v>0</v>
      </c>
      <c r="AB397" s="41">
        <f t="shared" si="233"/>
        <v>0</v>
      </c>
      <c r="AC397" s="38"/>
      <c r="AD397" s="44">
        <f t="shared" si="238"/>
        <v>0</v>
      </c>
      <c r="AE397" s="41">
        <f t="shared" si="198"/>
        <v>0</v>
      </c>
      <c r="AF397" s="314"/>
      <c r="AG397" s="45" t="s">
        <v>53</v>
      </c>
      <c r="AH397" s="318"/>
      <c r="AI397" s="46"/>
      <c r="AJ397" s="46"/>
      <c r="AK397" s="46"/>
    </row>
    <row r="398" spans="1:37" s="47" customFormat="1" ht="54.75" customHeight="1">
      <c r="A398" s="308"/>
      <c r="B398" s="33" t="s">
        <v>460</v>
      </c>
      <c r="C398" s="50"/>
      <c r="D398" s="50"/>
      <c r="E398" s="51"/>
      <c r="F398" s="34">
        <v>31</v>
      </c>
      <c r="G398" s="34" t="s">
        <v>99</v>
      </c>
      <c r="H398" s="35" t="s">
        <v>462</v>
      </c>
      <c r="I398" s="34" t="s">
        <v>45</v>
      </c>
      <c r="J398" s="36" t="s">
        <v>56</v>
      </c>
      <c r="K398" s="37"/>
      <c r="L398" s="38">
        <v>209.1</v>
      </c>
      <c r="M398" s="38"/>
      <c r="N398" s="38"/>
      <c r="O398" s="38"/>
      <c r="P398" s="39">
        <f t="shared" si="237"/>
        <v>209.1</v>
      </c>
      <c r="Q398" s="311"/>
      <c r="R398" s="40">
        <v>60000</v>
      </c>
      <c r="S398" s="41">
        <f t="shared" si="202"/>
        <v>12546000</v>
      </c>
      <c r="T398" s="41"/>
      <c r="U398" s="42" t="s">
        <v>463</v>
      </c>
      <c r="V398" s="66">
        <f t="shared" ref="V398:V431" si="239">P398</f>
        <v>209.1</v>
      </c>
      <c r="W398" s="38" t="s">
        <v>48</v>
      </c>
      <c r="X398" s="41">
        <v>9500</v>
      </c>
      <c r="Y398" s="43">
        <v>1</v>
      </c>
      <c r="Z398" s="41">
        <f t="shared" si="195"/>
        <v>1986450</v>
      </c>
      <c r="AA398" s="41">
        <f t="shared" si="235"/>
        <v>2091000</v>
      </c>
      <c r="AB398" s="41">
        <f t="shared" si="233"/>
        <v>37638000</v>
      </c>
      <c r="AC398" s="38"/>
      <c r="AD398" s="44">
        <f t="shared" si="238"/>
        <v>0</v>
      </c>
      <c r="AE398" s="41">
        <f t="shared" si="198"/>
        <v>54261450</v>
      </c>
      <c r="AF398" s="314"/>
      <c r="AG398" s="45"/>
      <c r="AH398" s="318"/>
      <c r="AI398" s="46"/>
      <c r="AJ398" s="46"/>
      <c r="AK398" s="46"/>
    </row>
    <row r="399" spans="1:37" s="47" customFormat="1" ht="54.75" customHeight="1">
      <c r="A399" s="309"/>
      <c r="B399" s="33" t="s">
        <v>460</v>
      </c>
      <c r="C399" s="50"/>
      <c r="D399" s="50"/>
      <c r="E399" s="51"/>
      <c r="F399" s="34">
        <v>146</v>
      </c>
      <c r="G399" s="34" t="s">
        <v>99</v>
      </c>
      <c r="H399" s="35" t="s">
        <v>464</v>
      </c>
      <c r="I399" s="34" t="s">
        <v>45</v>
      </c>
      <c r="J399" s="36" t="s">
        <v>60</v>
      </c>
      <c r="K399" s="37"/>
      <c r="L399" s="38">
        <v>358.9</v>
      </c>
      <c r="M399" s="38"/>
      <c r="N399" s="38"/>
      <c r="O399" s="38"/>
      <c r="P399" s="39">
        <f t="shared" si="237"/>
        <v>358.9</v>
      </c>
      <c r="Q399" s="312"/>
      <c r="R399" s="40">
        <v>60000</v>
      </c>
      <c r="S399" s="41">
        <f t="shared" si="202"/>
        <v>21534000</v>
      </c>
      <c r="T399" s="41"/>
      <c r="U399" s="42" t="s">
        <v>463</v>
      </c>
      <c r="V399" s="66">
        <f t="shared" si="239"/>
        <v>358.9</v>
      </c>
      <c r="W399" s="38" t="s">
        <v>48</v>
      </c>
      <c r="X399" s="41">
        <v>9500</v>
      </c>
      <c r="Y399" s="43">
        <v>1</v>
      </c>
      <c r="Z399" s="41">
        <f t="shared" si="195"/>
        <v>3409550</v>
      </c>
      <c r="AA399" s="41">
        <f t="shared" si="235"/>
        <v>3589000</v>
      </c>
      <c r="AB399" s="41">
        <f t="shared" si="233"/>
        <v>64602000</v>
      </c>
      <c r="AC399" s="38"/>
      <c r="AD399" s="44">
        <f t="shared" si="238"/>
        <v>0</v>
      </c>
      <c r="AE399" s="41">
        <f t="shared" si="198"/>
        <v>93134550</v>
      </c>
      <c r="AF399" s="315"/>
      <c r="AG399" s="45"/>
      <c r="AH399" s="318"/>
      <c r="AI399" s="46"/>
      <c r="AJ399" s="46"/>
      <c r="AK399" s="46"/>
    </row>
    <row r="400" spans="1:37" s="47" customFormat="1" ht="39" customHeight="1">
      <c r="A400" s="32">
        <v>97</v>
      </c>
      <c r="B400" s="33" t="s">
        <v>465</v>
      </c>
      <c r="C400" s="50">
        <v>16</v>
      </c>
      <c r="D400" s="50">
        <v>4</v>
      </c>
      <c r="E400" s="51">
        <v>360</v>
      </c>
      <c r="F400" s="34">
        <v>449</v>
      </c>
      <c r="G400" s="34">
        <v>28</v>
      </c>
      <c r="H400" s="156">
        <v>427.4</v>
      </c>
      <c r="I400" s="89" t="s">
        <v>49</v>
      </c>
      <c r="J400" s="36" t="s">
        <v>57</v>
      </c>
      <c r="K400" s="37">
        <f t="shared" si="234"/>
        <v>360</v>
      </c>
      <c r="L400" s="38">
        <f>H400-K400</f>
        <v>67.399999999999977</v>
      </c>
      <c r="M400" s="38"/>
      <c r="N400" s="38"/>
      <c r="O400" s="38"/>
      <c r="P400" s="39">
        <f t="shared" si="237"/>
        <v>427.4</v>
      </c>
      <c r="Q400" s="63">
        <f>P400</f>
        <v>427.4</v>
      </c>
      <c r="R400" s="40">
        <v>60000</v>
      </c>
      <c r="S400" s="41">
        <f t="shared" si="202"/>
        <v>25644000</v>
      </c>
      <c r="T400" s="41"/>
      <c r="U400" s="42" t="s">
        <v>463</v>
      </c>
      <c r="V400" s="66">
        <f t="shared" si="239"/>
        <v>427.4</v>
      </c>
      <c r="W400" s="38" t="s">
        <v>48</v>
      </c>
      <c r="X400" s="41">
        <v>9500</v>
      </c>
      <c r="Y400" s="43">
        <v>1</v>
      </c>
      <c r="Z400" s="41">
        <f t="shared" si="195"/>
        <v>4060300</v>
      </c>
      <c r="AA400" s="41">
        <f t="shared" si="235"/>
        <v>4274000</v>
      </c>
      <c r="AB400" s="41">
        <f t="shared" si="233"/>
        <v>76932000</v>
      </c>
      <c r="AC400" s="38">
        <v>1</v>
      </c>
      <c r="AD400" s="44">
        <f t="shared" si="238"/>
        <v>3500000</v>
      </c>
      <c r="AE400" s="41">
        <f t="shared" si="198"/>
        <v>114410300</v>
      </c>
      <c r="AF400" s="64">
        <f>AE400</f>
        <v>114410300</v>
      </c>
      <c r="AG400" s="45"/>
      <c r="AH400" s="252"/>
      <c r="AI400" s="46"/>
      <c r="AJ400" s="46"/>
      <c r="AK400" s="46"/>
    </row>
    <row r="401" spans="1:37" s="47" customFormat="1" ht="47.25" customHeight="1">
      <c r="A401" s="307">
        <v>98</v>
      </c>
      <c r="B401" s="33" t="s">
        <v>466</v>
      </c>
      <c r="C401" s="50"/>
      <c r="D401" s="50"/>
      <c r="E401" s="51"/>
      <c r="F401" s="34" t="s">
        <v>467</v>
      </c>
      <c r="G401" s="34">
        <v>28</v>
      </c>
      <c r="H401" s="35">
        <v>87.3</v>
      </c>
      <c r="I401" s="34" t="s">
        <v>45</v>
      </c>
      <c r="J401" s="36" t="s">
        <v>50</v>
      </c>
      <c r="K401" s="37"/>
      <c r="L401" s="38">
        <v>87.3</v>
      </c>
      <c r="M401" s="38"/>
      <c r="N401" s="38"/>
      <c r="O401" s="38"/>
      <c r="P401" s="39">
        <f t="shared" si="237"/>
        <v>87.3</v>
      </c>
      <c r="Q401" s="310">
        <f>SUM(P401:P403)</f>
        <v>191</v>
      </c>
      <c r="R401" s="40">
        <v>60000</v>
      </c>
      <c r="S401" s="41">
        <f t="shared" si="202"/>
        <v>5238000</v>
      </c>
      <c r="T401" s="41"/>
      <c r="U401" s="42" t="s">
        <v>463</v>
      </c>
      <c r="V401" s="66">
        <f t="shared" si="239"/>
        <v>87.3</v>
      </c>
      <c r="W401" s="38" t="s">
        <v>48</v>
      </c>
      <c r="X401" s="41">
        <v>9500</v>
      </c>
      <c r="Y401" s="43">
        <v>1</v>
      </c>
      <c r="Z401" s="41">
        <f t="shared" si="195"/>
        <v>829350</v>
      </c>
      <c r="AA401" s="41">
        <f t="shared" si="235"/>
        <v>873000</v>
      </c>
      <c r="AB401" s="41">
        <f t="shared" si="233"/>
        <v>15714000</v>
      </c>
      <c r="AC401" s="38"/>
      <c r="AD401" s="44">
        <f t="shared" si="238"/>
        <v>0</v>
      </c>
      <c r="AE401" s="41">
        <f t="shared" si="198"/>
        <v>22654350</v>
      </c>
      <c r="AF401" s="313">
        <f>SUM(AE401:AE403)</f>
        <v>49564500</v>
      </c>
      <c r="AG401" s="45"/>
      <c r="AH401" s="319" t="s">
        <v>468</v>
      </c>
      <c r="AI401" s="46"/>
      <c r="AJ401" s="46"/>
      <c r="AK401" s="46"/>
    </row>
    <row r="402" spans="1:37" s="47" customFormat="1" ht="47.25" customHeight="1">
      <c r="A402" s="308"/>
      <c r="B402" s="33" t="s">
        <v>466</v>
      </c>
      <c r="C402" s="50">
        <v>128</v>
      </c>
      <c r="D402" s="50">
        <v>5</v>
      </c>
      <c r="E402" s="51">
        <v>108</v>
      </c>
      <c r="F402" s="34" t="s">
        <v>469</v>
      </c>
      <c r="G402" s="34">
        <v>28</v>
      </c>
      <c r="H402" s="35">
        <v>103.7</v>
      </c>
      <c r="I402" s="34" t="s">
        <v>49</v>
      </c>
      <c r="J402" s="36" t="s">
        <v>50</v>
      </c>
      <c r="K402" s="37">
        <v>103.7</v>
      </c>
      <c r="L402" s="38"/>
      <c r="M402" s="38"/>
      <c r="N402" s="38"/>
      <c r="O402" s="38"/>
      <c r="P402" s="39">
        <f t="shared" si="237"/>
        <v>103.7</v>
      </c>
      <c r="Q402" s="311"/>
      <c r="R402" s="40">
        <v>60000</v>
      </c>
      <c r="S402" s="41">
        <f t="shared" si="202"/>
        <v>6222000</v>
      </c>
      <c r="T402" s="41"/>
      <c r="U402" s="42" t="s">
        <v>463</v>
      </c>
      <c r="V402" s="66">
        <f t="shared" si="239"/>
        <v>103.7</v>
      </c>
      <c r="W402" s="38" t="s">
        <v>48</v>
      </c>
      <c r="X402" s="41">
        <v>9500</v>
      </c>
      <c r="Y402" s="43">
        <v>1</v>
      </c>
      <c r="Z402" s="41">
        <f t="shared" si="195"/>
        <v>985150</v>
      </c>
      <c r="AA402" s="41">
        <f t="shared" si="235"/>
        <v>1037000</v>
      </c>
      <c r="AB402" s="41">
        <f t="shared" si="233"/>
        <v>18666000</v>
      </c>
      <c r="AC402" s="38"/>
      <c r="AD402" s="44">
        <f t="shared" si="238"/>
        <v>0</v>
      </c>
      <c r="AE402" s="41">
        <f t="shared" si="198"/>
        <v>26910150</v>
      </c>
      <c r="AF402" s="314"/>
      <c r="AG402" s="45"/>
      <c r="AH402" s="318"/>
      <c r="AI402" s="46"/>
      <c r="AJ402" s="46"/>
      <c r="AK402" s="46"/>
    </row>
    <row r="403" spans="1:37" s="47" customFormat="1" ht="47.25" customHeight="1">
      <c r="A403" s="309"/>
      <c r="B403" s="33" t="s">
        <v>466</v>
      </c>
      <c r="C403" s="50"/>
      <c r="D403" s="50"/>
      <c r="E403" s="51"/>
      <c r="F403" s="34" t="s">
        <v>469</v>
      </c>
      <c r="G403" s="34">
        <v>28</v>
      </c>
      <c r="H403" s="35">
        <v>103.7</v>
      </c>
      <c r="I403" s="34" t="s">
        <v>49</v>
      </c>
      <c r="J403" s="36" t="s">
        <v>50</v>
      </c>
      <c r="K403" s="37"/>
      <c r="L403" s="38"/>
      <c r="M403" s="38"/>
      <c r="N403" s="38"/>
      <c r="O403" s="38"/>
      <c r="P403" s="39">
        <f t="shared" si="237"/>
        <v>0</v>
      </c>
      <c r="Q403" s="312"/>
      <c r="R403" s="40"/>
      <c r="S403" s="41">
        <f t="shared" ref="S403:S439" si="240">P403*R403</f>
        <v>0</v>
      </c>
      <c r="T403" s="41"/>
      <c r="U403" s="42" t="s">
        <v>173</v>
      </c>
      <c r="V403" s="66">
        <f t="shared" si="239"/>
        <v>0</v>
      </c>
      <c r="W403" s="38" t="s">
        <v>48</v>
      </c>
      <c r="X403" s="41"/>
      <c r="Y403" s="43">
        <v>0</v>
      </c>
      <c r="Z403" s="41">
        <f t="shared" ref="Z403:Z462" si="241">V403*X403*Y403</f>
        <v>0</v>
      </c>
      <c r="AA403" s="41">
        <f t="shared" si="235"/>
        <v>0</v>
      </c>
      <c r="AB403" s="41">
        <f t="shared" si="233"/>
        <v>0</v>
      </c>
      <c r="AC403" s="38"/>
      <c r="AD403" s="44">
        <f t="shared" si="238"/>
        <v>0</v>
      </c>
      <c r="AE403" s="41">
        <f t="shared" ref="AE403:AE462" si="242">S403+Z403+AA403+AB403+AD403+T403</f>
        <v>0</v>
      </c>
      <c r="AF403" s="315"/>
      <c r="AG403" s="45" t="s">
        <v>113</v>
      </c>
      <c r="AH403" s="318"/>
      <c r="AI403" s="46"/>
      <c r="AJ403" s="46"/>
      <c r="AK403" s="46"/>
    </row>
    <row r="404" spans="1:37" s="47" customFormat="1" ht="47.25" customHeight="1">
      <c r="A404" s="307">
        <v>99</v>
      </c>
      <c r="B404" s="33" t="s">
        <v>470</v>
      </c>
      <c r="C404" s="50">
        <v>54</v>
      </c>
      <c r="D404" s="50">
        <v>5</v>
      </c>
      <c r="E404" s="51">
        <v>600</v>
      </c>
      <c r="F404" s="34" t="s">
        <v>471</v>
      </c>
      <c r="G404" s="34" t="s">
        <v>96</v>
      </c>
      <c r="H404" s="35">
        <v>642</v>
      </c>
      <c r="I404" s="34" t="s">
        <v>45</v>
      </c>
      <c r="J404" s="36" t="s">
        <v>54</v>
      </c>
      <c r="K404" s="37">
        <f t="shared" ref="K404" si="243">E404</f>
        <v>600</v>
      </c>
      <c r="L404" s="38">
        <f t="shared" ref="L404" si="244">H404-K404</f>
        <v>42</v>
      </c>
      <c r="M404" s="38"/>
      <c r="N404" s="38"/>
      <c r="O404" s="38"/>
      <c r="P404" s="39">
        <f t="shared" si="237"/>
        <v>642</v>
      </c>
      <c r="Q404" s="310">
        <f>SUM(P404:P407)</f>
        <v>1175.7</v>
      </c>
      <c r="R404" s="40">
        <v>60000</v>
      </c>
      <c r="S404" s="41">
        <f t="shared" si="240"/>
        <v>38520000</v>
      </c>
      <c r="T404" s="41"/>
      <c r="U404" s="42" t="s">
        <v>472</v>
      </c>
      <c r="V404" s="60">
        <v>143</v>
      </c>
      <c r="W404" s="38" t="s">
        <v>52</v>
      </c>
      <c r="X404" s="41">
        <v>163000</v>
      </c>
      <c r="Y404" s="43">
        <v>0.8</v>
      </c>
      <c r="Z404" s="41">
        <f t="shared" si="241"/>
        <v>18647200</v>
      </c>
      <c r="AA404" s="41">
        <f t="shared" si="235"/>
        <v>6420000</v>
      </c>
      <c r="AB404" s="41">
        <f t="shared" si="233"/>
        <v>115560000</v>
      </c>
      <c r="AC404" s="38">
        <v>2</v>
      </c>
      <c r="AD404" s="44">
        <f t="shared" si="238"/>
        <v>7000000</v>
      </c>
      <c r="AE404" s="41">
        <f t="shared" si="242"/>
        <v>186147200</v>
      </c>
      <c r="AF404" s="313">
        <f>SUM(AE404:AE407)</f>
        <v>327957650</v>
      </c>
      <c r="AG404" s="81">
        <f>Q404*40000</f>
        <v>47028000</v>
      </c>
      <c r="AH404" s="318" t="s">
        <v>473</v>
      </c>
      <c r="AI404" s="46"/>
      <c r="AJ404" s="46"/>
      <c r="AK404" s="46"/>
    </row>
    <row r="405" spans="1:37" s="47" customFormat="1" ht="47.25" customHeight="1">
      <c r="A405" s="308"/>
      <c r="B405" s="33" t="s">
        <v>470</v>
      </c>
      <c r="C405" s="50"/>
      <c r="D405" s="50"/>
      <c r="E405" s="51"/>
      <c r="F405" s="34" t="s">
        <v>471</v>
      </c>
      <c r="G405" s="34" t="s">
        <v>96</v>
      </c>
      <c r="H405" s="35">
        <v>642</v>
      </c>
      <c r="I405" s="34" t="s">
        <v>45</v>
      </c>
      <c r="J405" s="36" t="s">
        <v>54</v>
      </c>
      <c r="K405" s="37"/>
      <c r="L405" s="38"/>
      <c r="M405" s="38"/>
      <c r="N405" s="38"/>
      <c r="O405" s="38"/>
      <c r="P405" s="39">
        <f t="shared" si="237"/>
        <v>0</v>
      </c>
      <c r="Q405" s="311"/>
      <c r="R405" s="40">
        <v>60000</v>
      </c>
      <c r="S405" s="41">
        <f t="shared" si="240"/>
        <v>0</v>
      </c>
      <c r="T405" s="41"/>
      <c r="U405" s="42" t="s">
        <v>472</v>
      </c>
      <c r="V405" s="60">
        <f>152-143</f>
        <v>9</v>
      </c>
      <c r="W405" s="38" t="s">
        <v>52</v>
      </c>
      <c r="X405" s="41">
        <v>163000</v>
      </c>
      <c r="Y405" s="43">
        <v>0</v>
      </c>
      <c r="Z405" s="41">
        <f t="shared" si="241"/>
        <v>0</v>
      </c>
      <c r="AA405" s="41">
        <f t="shared" si="235"/>
        <v>0</v>
      </c>
      <c r="AB405" s="41">
        <f t="shared" si="233"/>
        <v>0</v>
      </c>
      <c r="AC405" s="38"/>
      <c r="AD405" s="44">
        <f t="shared" si="238"/>
        <v>0</v>
      </c>
      <c r="AE405" s="41">
        <f t="shared" si="242"/>
        <v>0</v>
      </c>
      <c r="AF405" s="314"/>
      <c r="AG405" s="45" t="s">
        <v>474</v>
      </c>
      <c r="AH405" s="318"/>
      <c r="AI405" s="46"/>
      <c r="AJ405" s="46"/>
      <c r="AK405" s="46"/>
    </row>
    <row r="406" spans="1:37" s="47" customFormat="1" ht="47.25" customHeight="1">
      <c r="A406" s="308"/>
      <c r="B406" s="33" t="s">
        <v>470</v>
      </c>
      <c r="C406" s="50">
        <v>108</v>
      </c>
      <c r="D406" s="50">
        <v>5</v>
      </c>
      <c r="E406" s="51">
        <v>120</v>
      </c>
      <c r="F406" s="34" t="s">
        <v>475</v>
      </c>
      <c r="G406" s="34" t="s">
        <v>99</v>
      </c>
      <c r="H406" s="35">
        <v>154.19999999999999</v>
      </c>
      <c r="I406" s="34" t="s">
        <v>49</v>
      </c>
      <c r="J406" s="36" t="s">
        <v>74</v>
      </c>
      <c r="K406" s="37">
        <f t="shared" ref="K406:K407" si="245">E406</f>
        <v>120</v>
      </c>
      <c r="L406" s="38">
        <f t="shared" ref="L406:L407" si="246">H406-K406</f>
        <v>34.199999999999989</v>
      </c>
      <c r="M406" s="38"/>
      <c r="N406" s="38"/>
      <c r="O406" s="38"/>
      <c r="P406" s="39">
        <f t="shared" si="237"/>
        <v>154.19999999999999</v>
      </c>
      <c r="Q406" s="311"/>
      <c r="R406" s="40">
        <v>60000</v>
      </c>
      <c r="S406" s="41">
        <f t="shared" si="240"/>
        <v>9252000</v>
      </c>
      <c r="T406" s="41"/>
      <c r="U406" s="42" t="s">
        <v>58</v>
      </c>
      <c r="V406" s="66">
        <f t="shared" si="239"/>
        <v>154.19999999999999</v>
      </c>
      <c r="W406" s="38" t="s">
        <v>48</v>
      </c>
      <c r="X406" s="41">
        <v>31000</v>
      </c>
      <c r="Y406" s="43">
        <v>1</v>
      </c>
      <c r="Z406" s="41">
        <f t="shared" si="241"/>
        <v>4780200</v>
      </c>
      <c r="AA406" s="41">
        <f t="shared" si="235"/>
        <v>1542000</v>
      </c>
      <c r="AB406" s="41">
        <f t="shared" si="233"/>
        <v>27756000</v>
      </c>
      <c r="AC406" s="38"/>
      <c r="AD406" s="44">
        <f t="shared" si="238"/>
        <v>0</v>
      </c>
      <c r="AE406" s="41">
        <f t="shared" si="242"/>
        <v>43330200</v>
      </c>
      <c r="AF406" s="314"/>
      <c r="AG406" s="45" t="s">
        <v>476</v>
      </c>
      <c r="AH406" s="318"/>
      <c r="AI406" s="46"/>
      <c r="AJ406" s="46"/>
      <c r="AK406" s="46"/>
    </row>
    <row r="407" spans="1:37" s="47" customFormat="1" ht="47.25" customHeight="1">
      <c r="A407" s="309"/>
      <c r="B407" s="33" t="s">
        <v>470</v>
      </c>
      <c r="C407" s="50">
        <v>79</v>
      </c>
      <c r="D407" s="50">
        <v>4</v>
      </c>
      <c r="E407" s="51">
        <v>312</v>
      </c>
      <c r="F407" s="34" t="s">
        <v>159</v>
      </c>
      <c r="G407" s="34" t="s">
        <v>99</v>
      </c>
      <c r="H407" s="35">
        <v>379.5</v>
      </c>
      <c r="I407" s="34" t="s">
        <v>45</v>
      </c>
      <c r="J407" s="36" t="s">
        <v>46</v>
      </c>
      <c r="K407" s="37">
        <f t="shared" si="245"/>
        <v>312</v>
      </c>
      <c r="L407" s="38">
        <f t="shared" si="246"/>
        <v>67.5</v>
      </c>
      <c r="M407" s="38"/>
      <c r="N407" s="38"/>
      <c r="O407" s="38"/>
      <c r="P407" s="39">
        <f t="shared" si="237"/>
        <v>379.5</v>
      </c>
      <c r="Q407" s="312"/>
      <c r="R407" s="40">
        <v>60000</v>
      </c>
      <c r="S407" s="41">
        <f t="shared" si="240"/>
        <v>22770000</v>
      </c>
      <c r="T407" s="41"/>
      <c r="U407" s="42" t="s">
        <v>47</v>
      </c>
      <c r="V407" s="66">
        <f t="shared" si="239"/>
        <v>379.5</v>
      </c>
      <c r="W407" s="38" t="s">
        <v>48</v>
      </c>
      <c r="X407" s="41">
        <v>9500</v>
      </c>
      <c r="Y407" s="43">
        <v>1</v>
      </c>
      <c r="Z407" s="41">
        <f t="shared" si="241"/>
        <v>3605250</v>
      </c>
      <c r="AA407" s="41">
        <f t="shared" si="235"/>
        <v>3795000</v>
      </c>
      <c r="AB407" s="41">
        <f t="shared" si="233"/>
        <v>68310000</v>
      </c>
      <c r="AC407" s="38"/>
      <c r="AD407" s="44">
        <f t="shared" si="238"/>
        <v>0</v>
      </c>
      <c r="AE407" s="41">
        <f t="shared" si="242"/>
        <v>98480250</v>
      </c>
      <c r="AF407" s="315"/>
      <c r="AG407" s="45"/>
      <c r="AH407" s="318"/>
      <c r="AI407" s="46"/>
      <c r="AJ407" s="46"/>
      <c r="AK407" s="46"/>
    </row>
    <row r="408" spans="1:37" s="47" customFormat="1" ht="47.25" customHeight="1">
      <c r="A408" s="307">
        <v>100</v>
      </c>
      <c r="B408" s="33" t="s">
        <v>477</v>
      </c>
      <c r="C408" s="50">
        <v>78</v>
      </c>
      <c r="D408" s="50">
        <v>4</v>
      </c>
      <c r="E408" s="51">
        <v>72</v>
      </c>
      <c r="F408" s="34" t="s">
        <v>478</v>
      </c>
      <c r="G408" s="34" t="s">
        <v>99</v>
      </c>
      <c r="H408" s="35">
        <v>68.8</v>
      </c>
      <c r="I408" s="34" t="s">
        <v>55</v>
      </c>
      <c r="J408" s="36" t="s">
        <v>56</v>
      </c>
      <c r="K408" s="37">
        <v>68.8</v>
      </c>
      <c r="L408" s="38">
        <f>H408-K408</f>
        <v>0</v>
      </c>
      <c r="M408" s="38"/>
      <c r="N408" s="38"/>
      <c r="O408" s="38"/>
      <c r="P408" s="39">
        <f t="shared" si="237"/>
        <v>68.8</v>
      </c>
      <c r="Q408" s="310">
        <f>SUM(P408:P409)</f>
        <v>70.5</v>
      </c>
      <c r="R408" s="40">
        <v>60000</v>
      </c>
      <c r="S408" s="41">
        <f t="shared" si="240"/>
        <v>4128000</v>
      </c>
      <c r="T408" s="41"/>
      <c r="U408" s="42" t="s">
        <v>479</v>
      </c>
      <c r="V408" s="66">
        <f t="shared" si="239"/>
        <v>68.8</v>
      </c>
      <c r="W408" s="38" t="s">
        <v>48</v>
      </c>
      <c r="X408" s="41">
        <v>53000</v>
      </c>
      <c r="Y408" s="43">
        <v>1</v>
      </c>
      <c r="Z408" s="41">
        <f t="shared" si="241"/>
        <v>3646400</v>
      </c>
      <c r="AA408" s="41">
        <f t="shared" si="235"/>
        <v>688000</v>
      </c>
      <c r="AB408" s="41">
        <f t="shared" si="233"/>
        <v>12384000</v>
      </c>
      <c r="AC408" s="38"/>
      <c r="AD408" s="44">
        <f t="shared" si="238"/>
        <v>0</v>
      </c>
      <c r="AE408" s="41">
        <f t="shared" si="242"/>
        <v>20846400</v>
      </c>
      <c r="AF408" s="313">
        <f>SUM(AE408:AE409)</f>
        <v>21287550</v>
      </c>
      <c r="AG408" s="45"/>
      <c r="AH408" s="319" t="s">
        <v>480</v>
      </c>
      <c r="AI408" s="46"/>
      <c r="AJ408" s="46"/>
      <c r="AK408" s="46"/>
    </row>
    <row r="409" spans="1:37" s="47" customFormat="1" ht="46.5" customHeight="1">
      <c r="A409" s="309"/>
      <c r="B409" s="33" t="s">
        <v>477</v>
      </c>
      <c r="C409" s="50">
        <v>130</v>
      </c>
      <c r="D409" s="50">
        <v>5</v>
      </c>
      <c r="E409" s="51">
        <v>180</v>
      </c>
      <c r="F409" s="34" t="s">
        <v>481</v>
      </c>
      <c r="G409" s="34" t="s">
        <v>99</v>
      </c>
      <c r="H409" s="35">
        <v>200.2</v>
      </c>
      <c r="I409" s="34" t="s">
        <v>49</v>
      </c>
      <c r="J409" s="36" t="s">
        <v>198</v>
      </c>
      <c r="K409" s="37">
        <v>1.7</v>
      </c>
      <c r="L409" s="38"/>
      <c r="M409" s="38"/>
      <c r="N409" s="38"/>
      <c r="O409" s="38"/>
      <c r="P409" s="39">
        <f t="shared" si="237"/>
        <v>1.7</v>
      </c>
      <c r="Q409" s="312"/>
      <c r="R409" s="40">
        <v>60000</v>
      </c>
      <c r="S409" s="41">
        <f t="shared" si="240"/>
        <v>102000</v>
      </c>
      <c r="T409" s="41"/>
      <c r="U409" s="42" t="s">
        <v>47</v>
      </c>
      <c r="V409" s="66">
        <f t="shared" si="239"/>
        <v>1.7</v>
      </c>
      <c r="W409" s="38" t="s">
        <v>48</v>
      </c>
      <c r="X409" s="41">
        <v>9500</v>
      </c>
      <c r="Y409" s="43">
        <v>1</v>
      </c>
      <c r="Z409" s="41">
        <f t="shared" si="241"/>
        <v>16150</v>
      </c>
      <c r="AA409" s="41">
        <f t="shared" si="235"/>
        <v>17000</v>
      </c>
      <c r="AB409" s="41">
        <f t="shared" si="233"/>
        <v>306000</v>
      </c>
      <c r="AC409" s="38"/>
      <c r="AD409" s="44">
        <f t="shared" si="238"/>
        <v>0</v>
      </c>
      <c r="AE409" s="41">
        <f t="shared" si="242"/>
        <v>441150</v>
      </c>
      <c r="AF409" s="315"/>
      <c r="AG409" s="45"/>
      <c r="AH409" s="318"/>
      <c r="AI409" s="46"/>
      <c r="AJ409" s="46"/>
      <c r="AK409" s="46"/>
    </row>
    <row r="410" spans="1:37" s="68" customFormat="1" ht="42" customHeight="1">
      <c r="A410" s="307">
        <v>101</v>
      </c>
      <c r="B410" s="33" t="s">
        <v>482</v>
      </c>
      <c r="C410" s="72">
        <v>79</v>
      </c>
      <c r="D410" s="72">
        <v>4</v>
      </c>
      <c r="E410" s="73">
        <v>720</v>
      </c>
      <c r="F410" s="34" t="s">
        <v>483</v>
      </c>
      <c r="G410" s="34" t="s">
        <v>99</v>
      </c>
      <c r="H410" s="35">
        <v>550.5</v>
      </c>
      <c r="I410" s="34" t="s">
        <v>45</v>
      </c>
      <c r="J410" s="36" t="s">
        <v>60</v>
      </c>
      <c r="K410" s="37">
        <v>550.5</v>
      </c>
      <c r="L410" s="38">
        <f t="shared" ref="L410:L423" si="247">H410-K410</f>
        <v>0</v>
      </c>
      <c r="M410" s="38"/>
      <c r="N410" s="38"/>
      <c r="O410" s="38"/>
      <c r="P410" s="39">
        <f t="shared" si="237"/>
        <v>550.5</v>
      </c>
      <c r="Q410" s="310">
        <f>SUM(P410:P415)</f>
        <v>1181.8999999999999</v>
      </c>
      <c r="R410" s="40">
        <v>60000</v>
      </c>
      <c r="S410" s="41">
        <f t="shared" si="240"/>
        <v>33030000</v>
      </c>
      <c r="T410" s="41"/>
      <c r="U410" s="42" t="s">
        <v>64</v>
      </c>
      <c r="V410" s="66">
        <f t="shared" si="239"/>
        <v>550.5</v>
      </c>
      <c r="W410" s="38" t="s">
        <v>48</v>
      </c>
      <c r="X410" s="41">
        <v>9500</v>
      </c>
      <c r="Y410" s="43">
        <v>1</v>
      </c>
      <c r="Z410" s="41">
        <f t="shared" si="241"/>
        <v>5229750</v>
      </c>
      <c r="AA410" s="41">
        <f t="shared" si="235"/>
        <v>5505000</v>
      </c>
      <c r="AB410" s="41">
        <f t="shared" si="233"/>
        <v>99090000</v>
      </c>
      <c r="AC410" s="38">
        <v>2</v>
      </c>
      <c r="AD410" s="44">
        <f t="shared" si="238"/>
        <v>7000000</v>
      </c>
      <c r="AE410" s="41">
        <f t="shared" si="242"/>
        <v>149854750</v>
      </c>
      <c r="AF410" s="313">
        <f>SUM(AE410:AE415)</f>
        <v>317059200</v>
      </c>
      <c r="AG410" s="45" t="s">
        <v>415</v>
      </c>
      <c r="AH410" s="319" t="s">
        <v>480</v>
      </c>
      <c r="AI410" s="67"/>
      <c r="AJ410" s="67"/>
      <c r="AK410" s="67"/>
    </row>
    <row r="411" spans="1:37" s="68" customFormat="1" ht="42" customHeight="1">
      <c r="A411" s="308"/>
      <c r="B411" s="33" t="s">
        <v>482</v>
      </c>
      <c r="C411" s="77"/>
      <c r="D411" s="77"/>
      <c r="E411" s="78"/>
      <c r="F411" s="34">
        <v>119</v>
      </c>
      <c r="G411" s="34" t="s">
        <v>99</v>
      </c>
      <c r="H411" s="35">
        <v>554.29999999999995</v>
      </c>
      <c r="I411" s="34" t="s">
        <v>49</v>
      </c>
      <c r="J411" s="36" t="s">
        <v>57</v>
      </c>
      <c r="K411" s="37">
        <f>720-550.5</f>
        <v>169.5</v>
      </c>
      <c r="L411" s="38">
        <f>554.3-356.7-169.5</f>
        <v>28.099999999999966</v>
      </c>
      <c r="M411" s="38"/>
      <c r="N411" s="38"/>
      <c r="O411" s="38"/>
      <c r="P411" s="39">
        <f t="shared" si="237"/>
        <v>197.59999999999997</v>
      </c>
      <c r="Q411" s="311"/>
      <c r="R411" s="40">
        <v>60000</v>
      </c>
      <c r="S411" s="41">
        <f t="shared" si="240"/>
        <v>11855999.999999998</v>
      </c>
      <c r="T411" s="41"/>
      <c r="U411" s="42" t="s">
        <v>64</v>
      </c>
      <c r="V411" s="66">
        <f t="shared" si="239"/>
        <v>197.59999999999997</v>
      </c>
      <c r="W411" s="38" t="s">
        <v>48</v>
      </c>
      <c r="X411" s="41">
        <v>9500</v>
      </c>
      <c r="Y411" s="43">
        <v>1</v>
      </c>
      <c r="Z411" s="41">
        <f t="shared" si="241"/>
        <v>1877199.9999999998</v>
      </c>
      <c r="AA411" s="41">
        <f t="shared" si="235"/>
        <v>1975999.9999999998</v>
      </c>
      <c r="AB411" s="41">
        <f t="shared" si="233"/>
        <v>35567999.999999993</v>
      </c>
      <c r="AC411" s="38"/>
      <c r="AD411" s="44">
        <f t="shared" si="238"/>
        <v>0</v>
      </c>
      <c r="AE411" s="41">
        <f t="shared" si="242"/>
        <v>51277199.999999993</v>
      </c>
      <c r="AF411" s="314"/>
      <c r="AG411" s="45" t="s">
        <v>415</v>
      </c>
      <c r="AH411" s="318"/>
      <c r="AI411" s="67"/>
      <c r="AJ411" s="67"/>
      <c r="AK411" s="67"/>
    </row>
    <row r="412" spans="1:37" s="68" customFormat="1" ht="42" customHeight="1">
      <c r="A412" s="308"/>
      <c r="B412" s="33" t="s">
        <v>482</v>
      </c>
      <c r="C412" s="50">
        <v>121</v>
      </c>
      <c r="D412" s="50">
        <v>4</v>
      </c>
      <c r="E412" s="51">
        <v>72</v>
      </c>
      <c r="F412" s="34" t="s">
        <v>484</v>
      </c>
      <c r="G412" s="34" t="s">
        <v>99</v>
      </c>
      <c r="H412" s="35">
        <v>156.1</v>
      </c>
      <c r="I412" s="34" t="s">
        <v>49</v>
      </c>
      <c r="J412" s="36" t="s">
        <v>57</v>
      </c>
      <c r="K412" s="37">
        <f t="shared" ref="K412:K418" si="248">E412</f>
        <v>72</v>
      </c>
      <c r="L412" s="38">
        <f t="shared" si="247"/>
        <v>84.1</v>
      </c>
      <c r="M412" s="38"/>
      <c r="N412" s="38"/>
      <c r="O412" s="38"/>
      <c r="P412" s="39">
        <f t="shared" si="237"/>
        <v>156.1</v>
      </c>
      <c r="Q412" s="311"/>
      <c r="R412" s="40">
        <v>60000</v>
      </c>
      <c r="S412" s="41">
        <f t="shared" si="240"/>
        <v>9366000</v>
      </c>
      <c r="T412" s="41"/>
      <c r="U412" s="42" t="s">
        <v>58</v>
      </c>
      <c r="V412" s="66">
        <f t="shared" si="239"/>
        <v>156.1</v>
      </c>
      <c r="W412" s="38" t="s">
        <v>48</v>
      </c>
      <c r="X412" s="41">
        <v>31000</v>
      </c>
      <c r="Y412" s="43">
        <v>1</v>
      </c>
      <c r="Z412" s="41">
        <f t="shared" si="241"/>
        <v>4839100</v>
      </c>
      <c r="AA412" s="41">
        <f t="shared" si="235"/>
        <v>1561000</v>
      </c>
      <c r="AB412" s="41">
        <f t="shared" si="233"/>
        <v>28098000</v>
      </c>
      <c r="AC412" s="38"/>
      <c r="AD412" s="44">
        <f t="shared" si="238"/>
        <v>0</v>
      </c>
      <c r="AE412" s="41">
        <f t="shared" si="242"/>
        <v>43864100</v>
      </c>
      <c r="AF412" s="314"/>
      <c r="AG412" s="45"/>
      <c r="AH412" s="318"/>
      <c r="AI412" s="67"/>
      <c r="AJ412" s="67"/>
      <c r="AK412" s="67"/>
    </row>
    <row r="413" spans="1:37" s="68" customFormat="1" ht="42" customHeight="1">
      <c r="A413" s="308"/>
      <c r="B413" s="33" t="s">
        <v>482</v>
      </c>
      <c r="C413" s="50">
        <v>199</v>
      </c>
      <c r="D413" s="50">
        <v>4</v>
      </c>
      <c r="E413" s="51">
        <v>72</v>
      </c>
      <c r="F413" s="34" t="s">
        <v>485</v>
      </c>
      <c r="G413" s="34" t="s">
        <v>99</v>
      </c>
      <c r="H413" s="35">
        <v>74.8</v>
      </c>
      <c r="I413" s="34" t="s">
        <v>49</v>
      </c>
      <c r="J413" s="36" t="s">
        <v>57</v>
      </c>
      <c r="K413" s="37">
        <f t="shared" si="248"/>
        <v>72</v>
      </c>
      <c r="L413" s="38">
        <f t="shared" si="247"/>
        <v>2.7999999999999972</v>
      </c>
      <c r="M413" s="38"/>
      <c r="N413" s="38"/>
      <c r="O413" s="38"/>
      <c r="P413" s="39">
        <f t="shared" si="237"/>
        <v>74.8</v>
      </c>
      <c r="Q413" s="311"/>
      <c r="R413" s="40">
        <v>60000</v>
      </c>
      <c r="S413" s="41">
        <f t="shared" si="240"/>
        <v>4488000</v>
      </c>
      <c r="T413" s="41"/>
      <c r="U413" s="42" t="s">
        <v>182</v>
      </c>
      <c r="V413" s="66">
        <f t="shared" si="239"/>
        <v>74.8</v>
      </c>
      <c r="W413" s="38" t="s">
        <v>48</v>
      </c>
      <c r="X413" s="41">
        <v>9500</v>
      </c>
      <c r="Y413" s="43">
        <v>1</v>
      </c>
      <c r="Z413" s="41">
        <f t="shared" si="241"/>
        <v>710600</v>
      </c>
      <c r="AA413" s="41">
        <f t="shared" si="235"/>
        <v>748000</v>
      </c>
      <c r="AB413" s="41">
        <f t="shared" si="233"/>
        <v>13464000</v>
      </c>
      <c r="AC413" s="38"/>
      <c r="AD413" s="44">
        <f t="shared" si="238"/>
        <v>0</v>
      </c>
      <c r="AE413" s="41">
        <f t="shared" si="242"/>
        <v>19410600</v>
      </c>
      <c r="AF413" s="314"/>
      <c r="AG413" s="45"/>
      <c r="AH413" s="318"/>
      <c r="AI413" s="67"/>
      <c r="AJ413" s="67"/>
      <c r="AK413" s="67"/>
    </row>
    <row r="414" spans="1:37" s="68" customFormat="1" ht="42" customHeight="1">
      <c r="A414" s="308"/>
      <c r="B414" s="33" t="s">
        <v>482</v>
      </c>
      <c r="C414" s="50">
        <v>126</v>
      </c>
      <c r="D414" s="50">
        <v>4</v>
      </c>
      <c r="E414" s="51">
        <v>108</v>
      </c>
      <c r="F414" s="34" t="s">
        <v>486</v>
      </c>
      <c r="G414" s="34" t="s">
        <v>99</v>
      </c>
      <c r="H414" s="35">
        <v>202.9</v>
      </c>
      <c r="I414" s="34" t="s">
        <v>49</v>
      </c>
      <c r="J414" s="36" t="s">
        <v>57</v>
      </c>
      <c r="K414" s="37">
        <f t="shared" si="248"/>
        <v>108</v>
      </c>
      <c r="L414" s="38">
        <f t="shared" si="247"/>
        <v>94.9</v>
      </c>
      <c r="M414" s="38"/>
      <c r="N414" s="38"/>
      <c r="O414" s="38"/>
      <c r="P414" s="39">
        <f t="shared" si="237"/>
        <v>202.9</v>
      </c>
      <c r="Q414" s="311"/>
      <c r="R414" s="40">
        <v>60000</v>
      </c>
      <c r="S414" s="41">
        <f t="shared" si="240"/>
        <v>12174000</v>
      </c>
      <c r="T414" s="41"/>
      <c r="U414" s="42" t="s">
        <v>64</v>
      </c>
      <c r="V414" s="66">
        <f t="shared" si="239"/>
        <v>202.9</v>
      </c>
      <c r="W414" s="38" t="s">
        <v>48</v>
      </c>
      <c r="X414" s="41">
        <v>9500</v>
      </c>
      <c r="Y414" s="43">
        <v>1</v>
      </c>
      <c r="Z414" s="41">
        <f t="shared" si="241"/>
        <v>1927550</v>
      </c>
      <c r="AA414" s="41">
        <f t="shared" si="235"/>
        <v>2029000</v>
      </c>
      <c r="AB414" s="41">
        <f t="shared" si="233"/>
        <v>36522000</v>
      </c>
      <c r="AC414" s="38"/>
      <c r="AD414" s="44">
        <f t="shared" si="238"/>
        <v>0</v>
      </c>
      <c r="AE414" s="41">
        <f t="shared" si="242"/>
        <v>52652550</v>
      </c>
      <c r="AF414" s="314"/>
      <c r="AG414" s="45"/>
      <c r="AH414" s="318"/>
      <c r="AI414" s="67"/>
      <c r="AJ414" s="67"/>
      <c r="AK414" s="67"/>
    </row>
    <row r="415" spans="1:37" s="68" customFormat="1" ht="42" customHeight="1">
      <c r="A415" s="309"/>
      <c r="B415" s="33" t="s">
        <v>482</v>
      </c>
      <c r="C415" s="50"/>
      <c r="D415" s="50"/>
      <c r="E415" s="51"/>
      <c r="F415" s="34" t="s">
        <v>486</v>
      </c>
      <c r="G415" s="34" t="s">
        <v>99</v>
      </c>
      <c r="H415" s="35">
        <v>202.9</v>
      </c>
      <c r="I415" s="34" t="s">
        <v>49</v>
      </c>
      <c r="J415" s="36" t="s">
        <v>57</v>
      </c>
      <c r="K415" s="37"/>
      <c r="L415" s="38"/>
      <c r="M415" s="38"/>
      <c r="N415" s="38"/>
      <c r="O415" s="38"/>
      <c r="P415" s="39">
        <f t="shared" si="237"/>
        <v>0</v>
      </c>
      <c r="Q415" s="312"/>
      <c r="R415" s="40">
        <v>60000</v>
      </c>
      <c r="S415" s="41">
        <f t="shared" si="240"/>
        <v>0</v>
      </c>
      <c r="T415" s="41"/>
      <c r="U415" s="42" t="s">
        <v>173</v>
      </c>
      <c r="V415" s="66">
        <f t="shared" si="239"/>
        <v>0</v>
      </c>
      <c r="W415" s="38"/>
      <c r="X415" s="41"/>
      <c r="Y415" s="43"/>
      <c r="Z415" s="41">
        <f t="shared" si="241"/>
        <v>0</v>
      </c>
      <c r="AA415" s="41">
        <f t="shared" si="235"/>
        <v>0</v>
      </c>
      <c r="AB415" s="41">
        <f t="shared" si="233"/>
        <v>0</v>
      </c>
      <c r="AC415" s="38"/>
      <c r="AD415" s="44">
        <f t="shared" si="238"/>
        <v>0</v>
      </c>
      <c r="AE415" s="41">
        <f t="shared" si="242"/>
        <v>0</v>
      </c>
      <c r="AF415" s="315"/>
      <c r="AG415" s="45" t="s">
        <v>303</v>
      </c>
      <c r="AH415" s="318"/>
      <c r="AI415" s="67"/>
      <c r="AJ415" s="67"/>
      <c r="AK415" s="67"/>
    </row>
    <row r="416" spans="1:37" s="68" customFormat="1" ht="54.75" customHeight="1">
      <c r="A416" s="307">
        <v>102</v>
      </c>
      <c r="B416" s="157" t="s">
        <v>487</v>
      </c>
      <c r="C416" s="72">
        <v>195</v>
      </c>
      <c r="D416" s="72">
        <v>5</v>
      </c>
      <c r="E416" s="73">
        <v>240</v>
      </c>
      <c r="F416" s="95" t="s">
        <v>488</v>
      </c>
      <c r="G416" s="95" t="s">
        <v>99</v>
      </c>
      <c r="H416" s="158">
        <v>156.1</v>
      </c>
      <c r="I416" s="95" t="s">
        <v>49</v>
      </c>
      <c r="J416" s="77" t="s">
        <v>50</v>
      </c>
      <c r="K416" s="37">
        <v>156.1</v>
      </c>
      <c r="L416" s="38">
        <f t="shared" si="247"/>
        <v>0</v>
      </c>
      <c r="M416" s="38"/>
      <c r="N416" s="38"/>
      <c r="O416" s="38"/>
      <c r="P416" s="39">
        <f t="shared" si="237"/>
        <v>156.1</v>
      </c>
      <c r="Q416" s="310">
        <f>SUM(P416:P421)</f>
        <v>898.8</v>
      </c>
      <c r="R416" s="40">
        <v>60000</v>
      </c>
      <c r="S416" s="41">
        <f t="shared" si="240"/>
        <v>9366000</v>
      </c>
      <c r="T416" s="159"/>
      <c r="U416" s="160" t="s">
        <v>489</v>
      </c>
      <c r="V416" s="66">
        <v>35</v>
      </c>
      <c r="W416" s="161" t="s">
        <v>52</v>
      </c>
      <c r="X416" s="159">
        <v>163000</v>
      </c>
      <c r="Y416" s="43">
        <v>0.8</v>
      </c>
      <c r="Z416" s="41">
        <f t="shared" si="241"/>
        <v>4564000</v>
      </c>
      <c r="AA416" s="41">
        <f t="shared" si="235"/>
        <v>1561000</v>
      </c>
      <c r="AB416" s="41">
        <f t="shared" si="233"/>
        <v>28098000</v>
      </c>
      <c r="AC416" s="38">
        <v>2</v>
      </c>
      <c r="AD416" s="44">
        <f t="shared" si="238"/>
        <v>7000000</v>
      </c>
      <c r="AE416" s="41">
        <f t="shared" si="242"/>
        <v>50589000</v>
      </c>
      <c r="AF416" s="313">
        <f>SUM(AE416:AE421)</f>
        <v>245000200</v>
      </c>
      <c r="AG416" s="162">
        <f>P416*40000</f>
        <v>6244000</v>
      </c>
      <c r="AH416" s="318" t="s">
        <v>490</v>
      </c>
      <c r="AI416" s="67"/>
      <c r="AJ416" s="67"/>
      <c r="AK416" s="67"/>
    </row>
    <row r="417" spans="1:38" s="68" customFormat="1" ht="54.75" customHeight="1">
      <c r="A417" s="308"/>
      <c r="B417" s="157" t="s">
        <v>487</v>
      </c>
      <c r="C417" s="77"/>
      <c r="D417" s="77"/>
      <c r="E417" s="78"/>
      <c r="F417" s="95" t="s">
        <v>491</v>
      </c>
      <c r="G417" s="95" t="s">
        <v>99</v>
      </c>
      <c r="H417" s="158">
        <v>175.9</v>
      </c>
      <c r="I417" s="95" t="s">
        <v>49</v>
      </c>
      <c r="J417" s="36" t="s">
        <v>50</v>
      </c>
      <c r="K417" s="37">
        <f>240-156.1</f>
        <v>83.9</v>
      </c>
      <c r="L417" s="38"/>
      <c r="M417" s="38"/>
      <c r="N417" s="38"/>
      <c r="O417" s="38"/>
      <c r="P417" s="39">
        <f t="shared" si="237"/>
        <v>83.9</v>
      </c>
      <c r="Q417" s="311"/>
      <c r="R417" s="40">
        <v>60000</v>
      </c>
      <c r="S417" s="41">
        <f t="shared" si="240"/>
        <v>5034000</v>
      </c>
      <c r="T417" s="159"/>
      <c r="U417" s="160" t="s">
        <v>492</v>
      </c>
      <c r="V417" s="66">
        <v>19</v>
      </c>
      <c r="W417" s="38" t="s">
        <v>52</v>
      </c>
      <c r="X417" s="41">
        <v>163000</v>
      </c>
      <c r="Y417" s="43">
        <v>0.8</v>
      </c>
      <c r="Z417" s="41">
        <f t="shared" si="241"/>
        <v>2477600</v>
      </c>
      <c r="AA417" s="41">
        <f t="shared" si="235"/>
        <v>839000</v>
      </c>
      <c r="AB417" s="41">
        <f t="shared" si="233"/>
        <v>15102000</v>
      </c>
      <c r="AC417" s="38"/>
      <c r="AD417" s="44">
        <f t="shared" si="238"/>
        <v>0</v>
      </c>
      <c r="AE417" s="41">
        <f t="shared" si="242"/>
        <v>23452600</v>
      </c>
      <c r="AF417" s="314"/>
      <c r="AG417" s="162">
        <f t="shared" ref="AG417:AG421" si="249">P417*40000</f>
        <v>3356000</v>
      </c>
      <c r="AH417" s="318"/>
      <c r="AI417" s="67"/>
      <c r="AJ417" s="67"/>
      <c r="AK417" s="67"/>
    </row>
    <row r="418" spans="1:38" s="68" customFormat="1" ht="54.75" customHeight="1">
      <c r="A418" s="308"/>
      <c r="B418" s="157" t="s">
        <v>487</v>
      </c>
      <c r="C418" s="50">
        <v>123</v>
      </c>
      <c r="D418" s="50">
        <v>5</v>
      </c>
      <c r="E418" s="51">
        <v>132</v>
      </c>
      <c r="F418" s="95" t="s">
        <v>493</v>
      </c>
      <c r="G418" s="95" t="s">
        <v>99</v>
      </c>
      <c r="H418" s="158">
        <v>138.9</v>
      </c>
      <c r="I418" s="95" t="s">
        <v>49</v>
      </c>
      <c r="J418" s="36" t="s">
        <v>50</v>
      </c>
      <c r="K418" s="37">
        <f t="shared" si="248"/>
        <v>132</v>
      </c>
      <c r="L418" s="38">
        <f t="shared" si="247"/>
        <v>6.9000000000000057</v>
      </c>
      <c r="M418" s="38"/>
      <c r="N418" s="38"/>
      <c r="O418" s="38"/>
      <c r="P418" s="39">
        <f t="shared" si="237"/>
        <v>138.9</v>
      </c>
      <c r="Q418" s="240"/>
      <c r="R418" s="40">
        <v>60000</v>
      </c>
      <c r="S418" s="41">
        <f t="shared" si="240"/>
        <v>8334000</v>
      </c>
      <c r="T418" s="159"/>
      <c r="U418" s="42" t="s">
        <v>47</v>
      </c>
      <c r="V418" s="66">
        <f t="shared" si="239"/>
        <v>138.9</v>
      </c>
      <c r="W418" s="38" t="s">
        <v>48</v>
      </c>
      <c r="X418" s="41">
        <v>9500</v>
      </c>
      <c r="Y418" s="43">
        <v>1</v>
      </c>
      <c r="Z418" s="41">
        <f t="shared" si="241"/>
        <v>1319550</v>
      </c>
      <c r="AA418" s="41">
        <f t="shared" si="235"/>
        <v>1389000</v>
      </c>
      <c r="AB418" s="41">
        <f t="shared" si="233"/>
        <v>25002000</v>
      </c>
      <c r="AC418" s="38"/>
      <c r="AD418" s="44">
        <f t="shared" si="238"/>
        <v>0</v>
      </c>
      <c r="AE418" s="41">
        <f t="shared" si="242"/>
        <v>36044550</v>
      </c>
      <c r="AF418" s="175"/>
      <c r="AG418" s="162">
        <f t="shared" si="249"/>
        <v>5556000</v>
      </c>
      <c r="AH418" s="318"/>
      <c r="AI418" s="67"/>
      <c r="AJ418" s="67"/>
      <c r="AK418" s="67"/>
    </row>
    <row r="419" spans="1:38" s="68" customFormat="1" ht="54.75" customHeight="1">
      <c r="A419" s="308"/>
      <c r="B419" s="157" t="s">
        <v>487</v>
      </c>
      <c r="C419" s="57"/>
      <c r="D419" s="57"/>
      <c r="E419" s="58"/>
      <c r="F419" s="95">
        <v>226</v>
      </c>
      <c r="G419" s="95">
        <v>28</v>
      </c>
      <c r="H419" s="158">
        <v>384.2</v>
      </c>
      <c r="I419" s="95" t="s">
        <v>45</v>
      </c>
      <c r="J419" s="36" t="s">
        <v>60</v>
      </c>
      <c r="K419" s="37">
        <f>504-445.4</f>
        <v>58.600000000000023</v>
      </c>
      <c r="L419" s="38">
        <f>74.5-58.6</f>
        <v>15.899999999999999</v>
      </c>
      <c r="M419" s="38"/>
      <c r="N419" s="38"/>
      <c r="O419" s="38"/>
      <c r="P419" s="39">
        <f t="shared" si="237"/>
        <v>74.500000000000028</v>
      </c>
      <c r="Q419" s="240"/>
      <c r="R419" s="40">
        <v>60000</v>
      </c>
      <c r="S419" s="41">
        <f t="shared" si="240"/>
        <v>4470000.0000000019</v>
      </c>
      <c r="T419" s="41"/>
      <c r="U419" s="42" t="s">
        <v>47</v>
      </c>
      <c r="V419" s="66">
        <f t="shared" si="239"/>
        <v>74.500000000000028</v>
      </c>
      <c r="W419" s="38" t="s">
        <v>48</v>
      </c>
      <c r="X419" s="41">
        <v>9500</v>
      </c>
      <c r="Y419" s="43">
        <v>1</v>
      </c>
      <c r="Z419" s="41">
        <f t="shared" si="241"/>
        <v>707750.00000000023</v>
      </c>
      <c r="AA419" s="41">
        <f t="shared" si="235"/>
        <v>745000.00000000023</v>
      </c>
      <c r="AB419" s="41">
        <f t="shared" si="233"/>
        <v>13410000.000000006</v>
      </c>
      <c r="AC419" s="38"/>
      <c r="AD419" s="44">
        <f t="shared" si="238"/>
        <v>0</v>
      </c>
      <c r="AE419" s="41">
        <f t="shared" si="242"/>
        <v>19332750.000000007</v>
      </c>
      <c r="AF419" s="175"/>
      <c r="AG419" s="162">
        <f t="shared" si="249"/>
        <v>2980000.0000000009</v>
      </c>
      <c r="AH419" s="318"/>
      <c r="AI419" s="67"/>
      <c r="AJ419" s="67"/>
      <c r="AK419" s="67"/>
    </row>
    <row r="420" spans="1:38" s="68" customFormat="1" ht="54.75" customHeight="1">
      <c r="A420" s="308"/>
      <c r="B420" s="157" t="s">
        <v>487</v>
      </c>
      <c r="C420" s="72">
        <v>83</v>
      </c>
      <c r="D420" s="72">
        <v>4</v>
      </c>
      <c r="E420" s="73">
        <v>504</v>
      </c>
      <c r="F420" s="95" t="s">
        <v>494</v>
      </c>
      <c r="G420" s="95" t="s">
        <v>99</v>
      </c>
      <c r="H420" s="158">
        <v>240.9</v>
      </c>
      <c r="I420" s="95" t="s">
        <v>45</v>
      </c>
      <c r="J420" s="36" t="s">
        <v>60</v>
      </c>
      <c r="K420" s="37">
        <v>240.9</v>
      </c>
      <c r="L420" s="38">
        <f t="shared" si="247"/>
        <v>0</v>
      </c>
      <c r="M420" s="38"/>
      <c r="N420" s="38"/>
      <c r="O420" s="38"/>
      <c r="P420" s="39">
        <f t="shared" si="237"/>
        <v>240.9</v>
      </c>
      <c r="Q420" s="240"/>
      <c r="R420" s="40">
        <v>60000</v>
      </c>
      <c r="S420" s="41">
        <f t="shared" si="240"/>
        <v>14454000</v>
      </c>
      <c r="T420" s="41"/>
      <c r="U420" s="42" t="s">
        <v>47</v>
      </c>
      <c r="V420" s="66">
        <f t="shared" si="239"/>
        <v>240.9</v>
      </c>
      <c r="W420" s="38" t="s">
        <v>48</v>
      </c>
      <c r="X420" s="41">
        <v>9500</v>
      </c>
      <c r="Y420" s="43">
        <v>1</v>
      </c>
      <c r="Z420" s="41">
        <f t="shared" si="241"/>
        <v>2288550</v>
      </c>
      <c r="AA420" s="41">
        <f t="shared" si="235"/>
        <v>2409000</v>
      </c>
      <c r="AB420" s="41">
        <f t="shared" si="233"/>
        <v>43362000</v>
      </c>
      <c r="AC420" s="38"/>
      <c r="AD420" s="44">
        <f t="shared" si="238"/>
        <v>0</v>
      </c>
      <c r="AE420" s="41">
        <f t="shared" si="242"/>
        <v>62513550</v>
      </c>
      <c r="AF420" s="175"/>
      <c r="AG420" s="162">
        <f t="shared" si="249"/>
        <v>9636000</v>
      </c>
      <c r="AH420" s="318"/>
      <c r="AI420" s="67"/>
      <c r="AJ420" s="67"/>
      <c r="AK420" s="67"/>
    </row>
    <row r="421" spans="1:38" s="68" customFormat="1" ht="54.75" customHeight="1">
      <c r="A421" s="309"/>
      <c r="B421" s="157" t="s">
        <v>487</v>
      </c>
      <c r="C421" s="77"/>
      <c r="D421" s="77"/>
      <c r="E421" s="78"/>
      <c r="F421" s="95" t="s">
        <v>495</v>
      </c>
      <c r="G421" s="95">
        <v>28</v>
      </c>
      <c r="H421" s="158">
        <v>240.2</v>
      </c>
      <c r="I421" s="95" t="s">
        <v>45</v>
      </c>
      <c r="J421" s="36" t="s">
        <v>57</v>
      </c>
      <c r="K421" s="37">
        <v>204.5</v>
      </c>
      <c r="L421" s="38"/>
      <c r="M421" s="38"/>
      <c r="N421" s="38"/>
      <c r="O421" s="38"/>
      <c r="P421" s="39">
        <f t="shared" si="237"/>
        <v>204.5</v>
      </c>
      <c r="Q421" s="94"/>
      <c r="R421" s="40">
        <v>60000</v>
      </c>
      <c r="S421" s="41">
        <f t="shared" si="240"/>
        <v>12270000</v>
      </c>
      <c r="T421" s="41"/>
      <c r="U421" s="42" t="s">
        <v>47</v>
      </c>
      <c r="V421" s="66">
        <f t="shared" si="239"/>
        <v>204.5</v>
      </c>
      <c r="W421" s="38" t="s">
        <v>48</v>
      </c>
      <c r="X421" s="41">
        <v>9500</v>
      </c>
      <c r="Y421" s="43">
        <v>1</v>
      </c>
      <c r="Z421" s="41">
        <f t="shared" si="241"/>
        <v>1942750</v>
      </c>
      <c r="AA421" s="41">
        <f t="shared" si="235"/>
        <v>2045000</v>
      </c>
      <c r="AB421" s="41">
        <f t="shared" si="233"/>
        <v>36810000</v>
      </c>
      <c r="AC421" s="38"/>
      <c r="AD421" s="44">
        <f t="shared" si="238"/>
        <v>0</v>
      </c>
      <c r="AE421" s="41">
        <f t="shared" si="242"/>
        <v>53067750</v>
      </c>
      <c r="AF421" s="176"/>
      <c r="AG421" s="162">
        <f t="shared" si="249"/>
        <v>8180000</v>
      </c>
      <c r="AH421" s="318"/>
      <c r="AI421" s="67"/>
      <c r="AJ421" s="67"/>
      <c r="AK421" s="67"/>
      <c r="AL421" s="163">
        <f>SUM(AE416:AE421)</f>
        <v>245000200</v>
      </c>
    </row>
    <row r="422" spans="1:38" s="68" customFormat="1" ht="54.75" customHeight="1">
      <c r="A422" s="307">
        <v>103</v>
      </c>
      <c r="B422" s="33" t="s">
        <v>496</v>
      </c>
      <c r="C422" s="50"/>
      <c r="D422" s="50"/>
      <c r="E422" s="51"/>
      <c r="F422" s="95" t="s">
        <v>491</v>
      </c>
      <c r="G422" s="95" t="s">
        <v>99</v>
      </c>
      <c r="H422" s="158">
        <v>175.9</v>
      </c>
      <c r="I422" s="95" t="s">
        <v>49</v>
      </c>
      <c r="J422" s="36" t="s">
        <v>50</v>
      </c>
      <c r="K422" s="37"/>
      <c r="L422" s="38">
        <v>92</v>
      </c>
      <c r="M422" s="38"/>
      <c r="N422" s="38"/>
      <c r="O422" s="38"/>
      <c r="P422" s="39">
        <f t="shared" si="237"/>
        <v>92</v>
      </c>
      <c r="Q422" s="310">
        <f>SUM(P422:P431)</f>
        <v>1453.1000000000001</v>
      </c>
      <c r="R422" s="40">
        <v>60000</v>
      </c>
      <c r="S422" s="41">
        <f t="shared" si="240"/>
        <v>5520000</v>
      </c>
      <c r="T422" s="41"/>
      <c r="U422" s="42" t="s">
        <v>47</v>
      </c>
      <c r="V422" s="66">
        <f t="shared" si="239"/>
        <v>92</v>
      </c>
      <c r="W422" s="38" t="s">
        <v>48</v>
      </c>
      <c r="X422" s="41">
        <v>9500</v>
      </c>
      <c r="Y422" s="43">
        <v>1</v>
      </c>
      <c r="Z422" s="41">
        <f t="shared" si="241"/>
        <v>874000</v>
      </c>
      <c r="AA422" s="41">
        <f t="shared" si="235"/>
        <v>920000</v>
      </c>
      <c r="AB422" s="41">
        <f t="shared" si="233"/>
        <v>16560000</v>
      </c>
      <c r="AC422" s="38"/>
      <c r="AD422" s="44"/>
      <c r="AE422" s="41">
        <f t="shared" si="242"/>
        <v>23874000</v>
      </c>
      <c r="AF422" s="313">
        <f>SUM(AE422:AE431)</f>
        <v>385445450</v>
      </c>
      <c r="AG422" s="45" t="s">
        <v>497</v>
      </c>
      <c r="AH422" s="250"/>
      <c r="AI422" s="67"/>
      <c r="AJ422" s="67"/>
      <c r="AK422" s="67"/>
    </row>
    <row r="423" spans="1:38" s="68" customFormat="1" ht="54.75" customHeight="1">
      <c r="A423" s="308"/>
      <c r="B423" s="33" t="s">
        <v>496</v>
      </c>
      <c r="C423" s="50"/>
      <c r="D423" s="50"/>
      <c r="E423" s="51"/>
      <c r="F423" s="34" t="s">
        <v>498</v>
      </c>
      <c r="G423" s="34" t="s">
        <v>99</v>
      </c>
      <c r="H423" s="35">
        <v>180.5</v>
      </c>
      <c r="I423" s="34" t="s">
        <v>45</v>
      </c>
      <c r="J423" s="36" t="s">
        <v>60</v>
      </c>
      <c r="K423" s="37"/>
      <c r="L423" s="38">
        <f t="shared" si="247"/>
        <v>180.5</v>
      </c>
      <c r="M423" s="38"/>
      <c r="N423" s="38"/>
      <c r="O423" s="38"/>
      <c r="P423" s="39">
        <f t="shared" si="237"/>
        <v>180.5</v>
      </c>
      <c r="Q423" s="311"/>
      <c r="R423" s="40">
        <v>60000</v>
      </c>
      <c r="S423" s="41">
        <f t="shared" si="240"/>
        <v>10830000</v>
      </c>
      <c r="T423" s="41"/>
      <c r="U423" s="42" t="s">
        <v>47</v>
      </c>
      <c r="V423" s="66">
        <f t="shared" si="239"/>
        <v>180.5</v>
      </c>
      <c r="W423" s="38" t="s">
        <v>48</v>
      </c>
      <c r="X423" s="41">
        <v>9500</v>
      </c>
      <c r="Y423" s="43">
        <v>1</v>
      </c>
      <c r="Z423" s="41">
        <f t="shared" si="241"/>
        <v>1714750</v>
      </c>
      <c r="AA423" s="41">
        <f t="shared" si="235"/>
        <v>1805000</v>
      </c>
      <c r="AB423" s="41">
        <f t="shared" si="233"/>
        <v>32490000</v>
      </c>
      <c r="AC423" s="38">
        <v>3</v>
      </c>
      <c r="AD423" s="44">
        <f t="shared" si="238"/>
        <v>10500000</v>
      </c>
      <c r="AE423" s="41">
        <f t="shared" si="242"/>
        <v>57339750</v>
      </c>
      <c r="AF423" s="314"/>
      <c r="AG423" s="45"/>
      <c r="AH423" s="319" t="s">
        <v>499</v>
      </c>
      <c r="AI423" s="67"/>
      <c r="AJ423" s="67"/>
      <c r="AK423" s="67"/>
    </row>
    <row r="424" spans="1:38" s="68" customFormat="1" ht="54.75" customHeight="1">
      <c r="A424" s="308"/>
      <c r="B424" s="33" t="s">
        <v>496</v>
      </c>
      <c r="C424" s="50">
        <v>98</v>
      </c>
      <c r="D424" s="50">
        <v>5</v>
      </c>
      <c r="E424" s="51">
        <v>360</v>
      </c>
      <c r="F424" s="34" t="s">
        <v>500</v>
      </c>
      <c r="G424" s="34" t="s">
        <v>99</v>
      </c>
      <c r="H424" s="35">
        <v>424</v>
      </c>
      <c r="I424" s="34" t="s">
        <v>45</v>
      </c>
      <c r="J424" s="36" t="s">
        <v>46</v>
      </c>
      <c r="K424" s="37">
        <v>360</v>
      </c>
      <c r="L424" s="38">
        <f>424-22.8-360</f>
        <v>41.199999999999989</v>
      </c>
      <c r="M424" s="38"/>
      <c r="N424" s="38"/>
      <c r="O424" s="38"/>
      <c r="P424" s="39">
        <f t="shared" si="237"/>
        <v>401.2</v>
      </c>
      <c r="Q424" s="311"/>
      <c r="R424" s="40">
        <v>60000</v>
      </c>
      <c r="S424" s="41">
        <f t="shared" si="240"/>
        <v>24072000</v>
      </c>
      <c r="T424" s="41"/>
      <c r="U424" s="42" t="s">
        <v>47</v>
      </c>
      <c r="V424" s="66">
        <f t="shared" si="239"/>
        <v>401.2</v>
      </c>
      <c r="W424" s="38" t="s">
        <v>48</v>
      </c>
      <c r="X424" s="41">
        <v>9500</v>
      </c>
      <c r="Y424" s="43">
        <v>1</v>
      </c>
      <c r="Z424" s="41">
        <f t="shared" si="241"/>
        <v>3811400</v>
      </c>
      <c r="AA424" s="41">
        <f t="shared" si="235"/>
        <v>4012000</v>
      </c>
      <c r="AB424" s="41">
        <f t="shared" si="233"/>
        <v>72216000</v>
      </c>
      <c r="AC424" s="38"/>
      <c r="AD424" s="44">
        <f t="shared" si="238"/>
        <v>0</v>
      </c>
      <c r="AE424" s="41">
        <f t="shared" si="242"/>
        <v>104111400</v>
      </c>
      <c r="AF424" s="314"/>
      <c r="AG424" s="45"/>
      <c r="AH424" s="318"/>
      <c r="AI424" s="67"/>
      <c r="AJ424" s="67"/>
      <c r="AK424" s="67"/>
    </row>
    <row r="425" spans="1:38" s="68" customFormat="1" ht="54.75" customHeight="1">
      <c r="A425" s="308"/>
      <c r="B425" s="33" t="s">
        <v>496</v>
      </c>
      <c r="C425" s="50"/>
      <c r="D425" s="50"/>
      <c r="E425" s="51"/>
      <c r="F425" s="34" t="s">
        <v>501</v>
      </c>
      <c r="G425" s="34" t="s">
        <v>99</v>
      </c>
      <c r="H425" s="35">
        <v>229.4</v>
      </c>
      <c r="I425" s="34" t="s">
        <v>49</v>
      </c>
      <c r="J425" s="36" t="s">
        <v>50</v>
      </c>
      <c r="K425" s="37"/>
      <c r="L425" s="38"/>
      <c r="M425" s="38">
        <v>229.4</v>
      </c>
      <c r="N425" s="38"/>
      <c r="O425" s="38"/>
      <c r="P425" s="39">
        <f t="shared" si="237"/>
        <v>229.4</v>
      </c>
      <c r="Q425" s="311"/>
      <c r="R425" s="40">
        <v>55000</v>
      </c>
      <c r="S425" s="41">
        <f t="shared" si="240"/>
        <v>12617000</v>
      </c>
      <c r="T425" s="41"/>
      <c r="U425" s="42" t="s">
        <v>100</v>
      </c>
      <c r="V425" s="66">
        <v>51</v>
      </c>
      <c r="W425" s="38" t="s">
        <v>52</v>
      </c>
      <c r="X425" s="41">
        <v>118000</v>
      </c>
      <c r="Y425" s="43">
        <v>1</v>
      </c>
      <c r="Z425" s="41">
        <f t="shared" si="241"/>
        <v>6018000</v>
      </c>
      <c r="AA425" s="41">
        <f t="shared" ref="AA425:AA426" si="250">P425*7000</f>
        <v>1605800</v>
      </c>
      <c r="AB425" s="41">
        <f t="shared" si="233"/>
        <v>37851000</v>
      </c>
      <c r="AC425" s="38"/>
      <c r="AD425" s="44">
        <f t="shared" si="238"/>
        <v>0</v>
      </c>
      <c r="AE425" s="41">
        <f t="shared" si="242"/>
        <v>58091800</v>
      </c>
      <c r="AF425" s="314"/>
      <c r="AG425" s="45"/>
      <c r="AH425" s="318"/>
      <c r="AI425" s="67"/>
      <c r="AJ425" s="67"/>
      <c r="AK425" s="67"/>
    </row>
    <row r="426" spans="1:38" s="68" customFormat="1" ht="54.75" customHeight="1">
      <c r="A426" s="308"/>
      <c r="B426" s="33" t="s">
        <v>496</v>
      </c>
      <c r="C426" s="50"/>
      <c r="D426" s="50"/>
      <c r="E426" s="51"/>
      <c r="F426" s="34" t="s">
        <v>502</v>
      </c>
      <c r="G426" s="34" t="s">
        <v>99</v>
      </c>
      <c r="H426" s="35">
        <v>112.2</v>
      </c>
      <c r="I426" s="34" t="s">
        <v>45</v>
      </c>
      <c r="J426" s="36" t="s">
        <v>50</v>
      </c>
      <c r="K426" s="37"/>
      <c r="L426" s="38"/>
      <c r="M426" s="38">
        <v>112.2</v>
      </c>
      <c r="N426" s="38"/>
      <c r="O426" s="38"/>
      <c r="P426" s="39">
        <f t="shared" si="237"/>
        <v>112.2</v>
      </c>
      <c r="Q426" s="311"/>
      <c r="R426" s="40">
        <v>55000</v>
      </c>
      <c r="S426" s="41">
        <f t="shared" si="240"/>
        <v>6171000</v>
      </c>
      <c r="T426" s="41"/>
      <c r="U426" s="42" t="s">
        <v>100</v>
      </c>
      <c r="V426" s="66">
        <v>25</v>
      </c>
      <c r="W426" s="38" t="s">
        <v>52</v>
      </c>
      <c r="X426" s="41">
        <v>118000</v>
      </c>
      <c r="Y426" s="43">
        <v>1</v>
      </c>
      <c r="Z426" s="41">
        <f t="shared" si="241"/>
        <v>2950000</v>
      </c>
      <c r="AA426" s="41">
        <f t="shared" si="250"/>
        <v>785400</v>
      </c>
      <c r="AB426" s="41">
        <f t="shared" si="233"/>
        <v>18513000</v>
      </c>
      <c r="AC426" s="38"/>
      <c r="AD426" s="44">
        <f t="shared" si="238"/>
        <v>0</v>
      </c>
      <c r="AE426" s="41">
        <f t="shared" si="242"/>
        <v>28419400</v>
      </c>
      <c r="AF426" s="314"/>
      <c r="AG426" s="81">
        <f>Q422*40000</f>
        <v>58124000.000000007</v>
      </c>
      <c r="AH426" s="318"/>
      <c r="AI426" s="67"/>
      <c r="AJ426" s="67"/>
      <c r="AK426" s="67"/>
    </row>
    <row r="427" spans="1:38" s="68" customFormat="1" ht="49.5" customHeight="1">
      <c r="A427" s="308"/>
      <c r="B427" s="33" t="s">
        <v>496</v>
      </c>
      <c r="C427" s="50">
        <v>122</v>
      </c>
      <c r="D427" s="50">
        <v>4</v>
      </c>
      <c r="E427" s="51">
        <v>216</v>
      </c>
      <c r="F427" s="34">
        <v>445</v>
      </c>
      <c r="G427" s="34">
        <v>28</v>
      </c>
      <c r="H427" s="35">
        <v>208.1</v>
      </c>
      <c r="I427" s="34" t="s">
        <v>49</v>
      </c>
      <c r="J427" s="36" t="s">
        <v>57</v>
      </c>
      <c r="K427" s="37">
        <v>208.1</v>
      </c>
      <c r="L427" s="38">
        <f t="shared" ref="L427" si="251">H427-K427</f>
        <v>0</v>
      </c>
      <c r="M427" s="38"/>
      <c r="N427" s="38"/>
      <c r="O427" s="38"/>
      <c r="P427" s="39">
        <f t="shared" si="237"/>
        <v>208.1</v>
      </c>
      <c r="Q427" s="311"/>
      <c r="R427" s="40">
        <v>60000</v>
      </c>
      <c r="S427" s="41">
        <f>P427*R427</f>
        <v>12486000</v>
      </c>
      <c r="T427" s="41"/>
      <c r="U427" s="42" t="s">
        <v>204</v>
      </c>
      <c r="V427" s="66">
        <f t="shared" ref="V427" si="252">P427</f>
        <v>208.1</v>
      </c>
      <c r="W427" s="38" t="s">
        <v>48</v>
      </c>
      <c r="X427" s="41">
        <v>9500</v>
      </c>
      <c r="Y427" s="43">
        <v>1</v>
      </c>
      <c r="Z427" s="41">
        <f t="shared" si="241"/>
        <v>1976950</v>
      </c>
      <c r="AA427" s="41">
        <f>P427*10000</f>
        <v>2081000</v>
      </c>
      <c r="AB427" s="41">
        <f t="shared" si="233"/>
        <v>37458000</v>
      </c>
      <c r="AC427" s="38"/>
      <c r="AD427" s="44">
        <f t="shared" si="238"/>
        <v>0</v>
      </c>
      <c r="AE427" s="41">
        <f t="shared" si="242"/>
        <v>54001950</v>
      </c>
      <c r="AF427" s="314"/>
      <c r="AG427" s="45"/>
      <c r="AH427" s="318"/>
      <c r="AI427" s="67"/>
      <c r="AJ427" s="67"/>
      <c r="AK427" s="67"/>
    </row>
    <row r="428" spans="1:38" s="68" customFormat="1" ht="46.5" customHeight="1">
      <c r="A428" s="308"/>
      <c r="B428" s="33" t="s">
        <v>496</v>
      </c>
      <c r="C428" s="50"/>
      <c r="D428" s="50"/>
      <c r="E428" s="51"/>
      <c r="F428" s="34">
        <v>445</v>
      </c>
      <c r="G428" s="34">
        <v>28</v>
      </c>
      <c r="H428" s="35">
        <v>208.1</v>
      </c>
      <c r="I428" s="34" t="s">
        <v>49</v>
      </c>
      <c r="J428" s="36" t="s">
        <v>57</v>
      </c>
      <c r="K428" s="37"/>
      <c r="L428" s="38"/>
      <c r="M428" s="38"/>
      <c r="N428" s="38"/>
      <c r="O428" s="38"/>
      <c r="P428" s="39">
        <f t="shared" si="237"/>
        <v>0</v>
      </c>
      <c r="Q428" s="311"/>
      <c r="R428" s="40"/>
      <c r="S428" s="41">
        <f t="shared" si="240"/>
        <v>0</v>
      </c>
      <c r="T428" s="41"/>
      <c r="U428" s="42" t="s">
        <v>371</v>
      </c>
      <c r="V428" s="66">
        <v>10</v>
      </c>
      <c r="W428" s="38" t="s">
        <v>52</v>
      </c>
      <c r="X428" s="41"/>
      <c r="Y428" s="43"/>
      <c r="Z428" s="41">
        <f t="shared" si="241"/>
        <v>0</v>
      </c>
      <c r="AA428" s="41">
        <f t="shared" ref="AA428" si="253">P428*10000</f>
        <v>0</v>
      </c>
      <c r="AB428" s="41">
        <f t="shared" si="233"/>
        <v>0</v>
      </c>
      <c r="AC428" s="38"/>
      <c r="AD428" s="44">
        <f t="shared" si="238"/>
        <v>0</v>
      </c>
      <c r="AE428" s="41">
        <f t="shared" si="242"/>
        <v>0</v>
      </c>
      <c r="AF428" s="314"/>
      <c r="AG428" s="45" t="s">
        <v>303</v>
      </c>
      <c r="AH428" s="318"/>
      <c r="AI428" s="67"/>
      <c r="AJ428" s="67"/>
      <c r="AK428" s="67"/>
    </row>
    <row r="429" spans="1:38" s="68" customFormat="1" ht="54.75" customHeight="1">
      <c r="A429" s="308"/>
      <c r="B429" s="33" t="s">
        <v>496</v>
      </c>
      <c r="C429" s="50"/>
      <c r="D429" s="50"/>
      <c r="E429" s="51"/>
      <c r="F429" s="34">
        <v>445</v>
      </c>
      <c r="G429" s="34">
        <v>28</v>
      </c>
      <c r="H429" s="35">
        <v>208.1</v>
      </c>
      <c r="I429" s="34" t="s">
        <v>49</v>
      </c>
      <c r="J429" s="36" t="s">
        <v>57</v>
      </c>
      <c r="K429" s="37"/>
      <c r="L429" s="38"/>
      <c r="M429" s="38"/>
      <c r="N429" s="38"/>
      <c r="O429" s="38"/>
      <c r="P429" s="39">
        <f t="shared" si="237"/>
        <v>0</v>
      </c>
      <c r="Q429" s="311"/>
      <c r="R429" s="40"/>
      <c r="S429" s="41">
        <f t="shared" si="240"/>
        <v>0</v>
      </c>
      <c r="T429" s="41"/>
      <c r="U429" s="42" t="s">
        <v>173</v>
      </c>
      <c r="V429" s="66">
        <v>10</v>
      </c>
      <c r="W429" s="38" t="s">
        <v>52</v>
      </c>
      <c r="X429" s="41"/>
      <c r="Y429" s="43"/>
      <c r="Z429" s="41">
        <f t="shared" si="241"/>
        <v>0</v>
      </c>
      <c r="AA429" s="41">
        <f t="shared" si="235"/>
        <v>0</v>
      </c>
      <c r="AB429" s="41">
        <f t="shared" si="233"/>
        <v>0</v>
      </c>
      <c r="AC429" s="38"/>
      <c r="AD429" s="44">
        <f t="shared" si="238"/>
        <v>0</v>
      </c>
      <c r="AE429" s="41">
        <f t="shared" si="242"/>
        <v>0</v>
      </c>
      <c r="AF429" s="314"/>
      <c r="AG429" s="45" t="s">
        <v>303</v>
      </c>
      <c r="AH429" s="318"/>
      <c r="AI429" s="67"/>
      <c r="AJ429" s="67"/>
      <c r="AK429" s="67"/>
    </row>
    <row r="430" spans="1:38" s="68" customFormat="1" ht="49.5" customHeight="1">
      <c r="A430" s="308"/>
      <c r="B430" s="33" t="s">
        <v>496</v>
      </c>
      <c r="C430" s="50">
        <v>132</v>
      </c>
      <c r="D430" s="50">
        <v>4</v>
      </c>
      <c r="E430" s="51">
        <v>192</v>
      </c>
      <c r="F430" s="34" t="s">
        <v>503</v>
      </c>
      <c r="G430" s="34" t="s">
        <v>99</v>
      </c>
      <c r="H430" s="35">
        <v>227.4</v>
      </c>
      <c r="I430" s="34" t="s">
        <v>49</v>
      </c>
      <c r="J430" s="36" t="s">
        <v>57</v>
      </c>
      <c r="K430" s="37">
        <f t="shared" ref="K430" si="254">E430</f>
        <v>192</v>
      </c>
      <c r="L430" s="38">
        <f t="shared" ref="L430" si="255">H430-K430</f>
        <v>35.400000000000006</v>
      </c>
      <c r="M430" s="38"/>
      <c r="N430" s="38"/>
      <c r="O430" s="38">
        <f>227.4-225.1</f>
        <v>2.3000000000000114</v>
      </c>
      <c r="P430" s="39">
        <f t="shared" si="237"/>
        <v>229.70000000000002</v>
      </c>
      <c r="Q430" s="311"/>
      <c r="R430" s="40">
        <v>60000</v>
      </c>
      <c r="S430" s="41">
        <f>P430*R430</f>
        <v>13782000.000000002</v>
      </c>
      <c r="T430" s="41"/>
      <c r="U430" s="42" t="s">
        <v>47</v>
      </c>
      <c r="V430" s="66">
        <f t="shared" si="239"/>
        <v>229.70000000000002</v>
      </c>
      <c r="W430" s="38" t="s">
        <v>48</v>
      </c>
      <c r="X430" s="41">
        <v>9500</v>
      </c>
      <c r="Y430" s="43">
        <v>1</v>
      </c>
      <c r="Z430" s="41">
        <f t="shared" si="241"/>
        <v>2182150</v>
      </c>
      <c r="AA430" s="41">
        <f>P430*10000</f>
        <v>2297000</v>
      </c>
      <c r="AB430" s="41">
        <f t="shared" si="233"/>
        <v>41346000.000000007</v>
      </c>
      <c r="AC430" s="38"/>
      <c r="AD430" s="44">
        <f t="shared" si="238"/>
        <v>0</v>
      </c>
      <c r="AE430" s="41">
        <f t="shared" si="242"/>
        <v>59607150.000000007</v>
      </c>
      <c r="AF430" s="314"/>
      <c r="AG430" s="45"/>
      <c r="AH430" s="318"/>
      <c r="AI430" s="67"/>
      <c r="AJ430" s="67"/>
      <c r="AK430" s="67"/>
    </row>
    <row r="431" spans="1:38" s="68" customFormat="1" ht="46.5" customHeight="1">
      <c r="A431" s="309"/>
      <c r="B431" s="33" t="s">
        <v>496</v>
      </c>
      <c r="C431" s="50"/>
      <c r="D431" s="50"/>
      <c r="E431" s="51"/>
      <c r="F431" s="34" t="s">
        <v>503</v>
      </c>
      <c r="G431" s="34" t="s">
        <v>99</v>
      </c>
      <c r="H431" s="35">
        <v>227.4</v>
      </c>
      <c r="I431" s="34" t="s">
        <v>49</v>
      </c>
      <c r="J431" s="36" t="s">
        <v>57</v>
      </c>
      <c r="K431" s="37"/>
      <c r="L431" s="38"/>
      <c r="M431" s="38"/>
      <c r="N431" s="38"/>
      <c r="O431" s="38"/>
      <c r="P431" s="39">
        <f t="shared" si="237"/>
        <v>0</v>
      </c>
      <c r="Q431" s="312"/>
      <c r="R431" s="40"/>
      <c r="S431" s="41">
        <f t="shared" si="240"/>
        <v>0</v>
      </c>
      <c r="T431" s="41"/>
      <c r="U431" s="42" t="s">
        <v>173</v>
      </c>
      <c r="V431" s="66">
        <f t="shared" si="239"/>
        <v>0</v>
      </c>
      <c r="W431" s="38"/>
      <c r="X431" s="41"/>
      <c r="Y431" s="43"/>
      <c r="Z431" s="41">
        <f t="shared" si="241"/>
        <v>0</v>
      </c>
      <c r="AA431" s="41">
        <f t="shared" si="235"/>
        <v>0</v>
      </c>
      <c r="AB431" s="41">
        <f t="shared" si="233"/>
        <v>0</v>
      </c>
      <c r="AC431" s="38"/>
      <c r="AD431" s="44">
        <f t="shared" si="238"/>
        <v>0</v>
      </c>
      <c r="AE431" s="41">
        <f t="shared" si="242"/>
        <v>0</v>
      </c>
      <c r="AF431" s="315"/>
      <c r="AG431" s="45" t="s">
        <v>303</v>
      </c>
      <c r="AH431" s="318"/>
      <c r="AI431" s="67"/>
      <c r="AJ431" s="67"/>
      <c r="AK431" s="67"/>
    </row>
    <row r="432" spans="1:38" s="68" customFormat="1" ht="45" customHeight="1">
      <c r="A432" s="307">
        <v>104</v>
      </c>
      <c r="B432" s="33" t="s">
        <v>504</v>
      </c>
      <c r="C432" s="72">
        <v>79</v>
      </c>
      <c r="D432" s="72">
        <v>4</v>
      </c>
      <c r="E432" s="73">
        <v>786</v>
      </c>
      <c r="F432" s="34">
        <v>100</v>
      </c>
      <c r="G432" s="34">
        <v>28</v>
      </c>
      <c r="H432" s="35">
        <v>715.9</v>
      </c>
      <c r="I432" s="34" t="s">
        <v>45</v>
      </c>
      <c r="J432" s="36" t="s">
        <v>63</v>
      </c>
      <c r="K432" s="37">
        <v>153.69999999999999</v>
      </c>
      <c r="L432" s="38"/>
      <c r="M432" s="38"/>
      <c r="N432" s="38"/>
      <c r="O432" s="38"/>
      <c r="P432" s="39">
        <f t="shared" si="237"/>
        <v>153.69999999999999</v>
      </c>
      <c r="Q432" s="310">
        <f>SUM(P432:P442)</f>
        <v>1385.3000000000002</v>
      </c>
      <c r="R432" s="40">
        <v>60000</v>
      </c>
      <c r="S432" s="41">
        <f t="shared" si="240"/>
        <v>9222000</v>
      </c>
      <c r="T432" s="41"/>
      <c r="U432" s="42" t="s">
        <v>64</v>
      </c>
      <c r="V432" s="66">
        <f>P432</f>
        <v>153.69999999999999</v>
      </c>
      <c r="W432" s="38" t="s">
        <v>48</v>
      </c>
      <c r="X432" s="41">
        <v>9500</v>
      </c>
      <c r="Y432" s="43">
        <v>1</v>
      </c>
      <c r="Z432" s="41">
        <f t="shared" si="241"/>
        <v>1460150</v>
      </c>
      <c r="AA432" s="41">
        <f t="shared" si="235"/>
        <v>1537000</v>
      </c>
      <c r="AB432" s="41">
        <f t="shared" si="233"/>
        <v>27666000</v>
      </c>
      <c r="AC432" s="38">
        <v>3</v>
      </c>
      <c r="AD432" s="44">
        <f t="shared" si="238"/>
        <v>10500000</v>
      </c>
      <c r="AE432" s="41">
        <f t="shared" si="242"/>
        <v>50385150</v>
      </c>
      <c r="AF432" s="313">
        <f>SUM(AE432:AE441)</f>
        <v>376495350</v>
      </c>
      <c r="AG432" s="45"/>
      <c r="AH432" s="319" t="s">
        <v>505</v>
      </c>
      <c r="AI432" s="67"/>
      <c r="AJ432" s="67"/>
      <c r="AK432" s="67"/>
    </row>
    <row r="433" spans="1:37" s="68" customFormat="1" ht="45" customHeight="1">
      <c r="A433" s="308"/>
      <c r="B433" s="33" t="s">
        <v>504</v>
      </c>
      <c r="C433" s="74"/>
      <c r="D433" s="74"/>
      <c r="E433" s="75"/>
      <c r="F433" s="34">
        <v>99</v>
      </c>
      <c r="G433" s="34">
        <v>28</v>
      </c>
      <c r="H433" s="35">
        <v>306.3</v>
      </c>
      <c r="I433" s="34" t="s">
        <v>45</v>
      </c>
      <c r="J433" s="36" t="s">
        <v>63</v>
      </c>
      <c r="K433" s="37">
        <v>306.3</v>
      </c>
      <c r="L433" s="38">
        <f t="shared" ref="L433" si="256">H433-K433</f>
        <v>0</v>
      </c>
      <c r="M433" s="38"/>
      <c r="N433" s="38"/>
      <c r="O433" s="38"/>
      <c r="P433" s="39">
        <f t="shared" si="237"/>
        <v>306.3</v>
      </c>
      <c r="Q433" s="311"/>
      <c r="R433" s="40">
        <v>60000</v>
      </c>
      <c r="S433" s="41">
        <f t="shared" si="240"/>
        <v>18378000</v>
      </c>
      <c r="T433" s="41"/>
      <c r="U433" s="42" t="s">
        <v>64</v>
      </c>
      <c r="V433" s="66">
        <f>P433</f>
        <v>306.3</v>
      </c>
      <c r="W433" s="38" t="s">
        <v>48</v>
      </c>
      <c r="X433" s="41">
        <v>9500</v>
      </c>
      <c r="Y433" s="43">
        <v>1</v>
      </c>
      <c r="Z433" s="41">
        <f t="shared" si="241"/>
        <v>2909850</v>
      </c>
      <c r="AA433" s="41">
        <f t="shared" si="235"/>
        <v>3063000</v>
      </c>
      <c r="AB433" s="41">
        <f t="shared" si="233"/>
        <v>55134000</v>
      </c>
      <c r="AC433" s="38"/>
      <c r="AD433" s="44">
        <f t="shared" si="238"/>
        <v>0</v>
      </c>
      <c r="AE433" s="41">
        <f t="shared" si="242"/>
        <v>79484850</v>
      </c>
      <c r="AF433" s="314"/>
      <c r="AG433" s="45"/>
      <c r="AH433" s="318"/>
      <c r="AI433" s="67"/>
      <c r="AJ433" s="67"/>
      <c r="AK433" s="67"/>
    </row>
    <row r="434" spans="1:37" s="68" customFormat="1" ht="45" customHeight="1">
      <c r="A434" s="308"/>
      <c r="B434" s="33" t="s">
        <v>504</v>
      </c>
      <c r="C434" s="77"/>
      <c r="D434" s="77"/>
      <c r="E434" s="78"/>
      <c r="F434" s="34">
        <v>119</v>
      </c>
      <c r="G434" s="34">
        <v>28</v>
      </c>
      <c r="H434" s="35">
        <v>554.29999999999995</v>
      </c>
      <c r="I434" s="34" t="s">
        <v>45</v>
      </c>
      <c r="J434" s="36" t="s">
        <v>63</v>
      </c>
      <c r="K434" s="37">
        <f>786-K433-K432</f>
        <v>326</v>
      </c>
      <c r="L434" s="38">
        <f>356.7-326</f>
        <v>30.699999999999989</v>
      </c>
      <c r="M434" s="38"/>
      <c r="N434" s="38"/>
      <c r="O434" s="38"/>
      <c r="P434" s="39">
        <f t="shared" si="237"/>
        <v>356.7</v>
      </c>
      <c r="Q434" s="311"/>
      <c r="R434" s="40">
        <v>60000</v>
      </c>
      <c r="S434" s="41">
        <f t="shared" si="240"/>
        <v>21402000</v>
      </c>
      <c r="T434" s="41"/>
      <c r="U434" s="42" t="s">
        <v>64</v>
      </c>
      <c r="V434" s="66">
        <f>P434-120</f>
        <v>236.7</v>
      </c>
      <c r="W434" s="38" t="s">
        <v>48</v>
      </c>
      <c r="X434" s="41">
        <v>9500</v>
      </c>
      <c r="Y434" s="43">
        <v>1</v>
      </c>
      <c r="Z434" s="41">
        <f t="shared" si="241"/>
        <v>2248650</v>
      </c>
      <c r="AA434" s="41">
        <f t="shared" si="235"/>
        <v>3567000</v>
      </c>
      <c r="AB434" s="41">
        <f t="shared" si="233"/>
        <v>64206000</v>
      </c>
      <c r="AC434" s="38"/>
      <c r="AD434" s="44">
        <f t="shared" si="238"/>
        <v>0</v>
      </c>
      <c r="AE434" s="41">
        <f t="shared" si="242"/>
        <v>91423650</v>
      </c>
      <c r="AF434" s="314"/>
      <c r="AG434" s="45" t="s">
        <v>415</v>
      </c>
      <c r="AH434" s="318"/>
      <c r="AI434" s="67"/>
      <c r="AJ434" s="67"/>
      <c r="AK434" s="67"/>
    </row>
    <row r="435" spans="1:37" s="68" customFormat="1" ht="45" customHeight="1">
      <c r="A435" s="308"/>
      <c r="B435" s="33" t="s">
        <v>504</v>
      </c>
      <c r="C435" s="77"/>
      <c r="D435" s="77"/>
      <c r="E435" s="78"/>
      <c r="F435" s="34"/>
      <c r="G435" s="34"/>
      <c r="H435" s="35"/>
      <c r="I435" s="34"/>
      <c r="J435" s="36"/>
      <c r="K435" s="37"/>
      <c r="L435" s="38"/>
      <c r="M435" s="38"/>
      <c r="N435" s="38"/>
      <c r="O435" s="38"/>
      <c r="P435" s="39">
        <f t="shared" si="237"/>
        <v>0</v>
      </c>
      <c r="Q435" s="311"/>
      <c r="R435" s="40"/>
      <c r="S435" s="41"/>
      <c r="T435" s="41"/>
      <c r="U435" s="42" t="s">
        <v>220</v>
      </c>
      <c r="V435" s="66">
        <v>120</v>
      </c>
      <c r="W435" s="38" t="s">
        <v>52</v>
      </c>
      <c r="X435" s="41">
        <v>44500</v>
      </c>
      <c r="Y435" s="43">
        <v>1</v>
      </c>
      <c r="Z435" s="41">
        <f t="shared" si="241"/>
        <v>5340000</v>
      </c>
      <c r="AA435" s="41"/>
      <c r="AB435" s="41"/>
      <c r="AC435" s="38"/>
      <c r="AD435" s="44">
        <f t="shared" si="238"/>
        <v>0</v>
      </c>
      <c r="AE435" s="41">
        <f t="shared" si="242"/>
        <v>5340000</v>
      </c>
      <c r="AF435" s="314"/>
      <c r="AG435" s="81">
        <f>Q432*40000</f>
        <v>55412000.000000007</v>
      </c>
      <c r="AH435" s="318"/>
      <c r="AI435" s="67"/>
      <c r="AJ435" s="67"/>
      <c r="AK435" s="67"/>
    </row>
    <row r="436" spans="1:37" s="68" customFormat="1" ht="45" customHeight="1">
      <c r="A436" s="308"/>
      <c r="B436" s="33" t="s">
        <v>504</v>
      </c>
      <c r="C436" s="50"/>
      <c r="D436" s="50"/>
      <c r="E436" s="51"/>
      <c r="F436" s="34">
        <v>211</v>
      </c>
      <c r="G436" s="34">
        <v>28</v>
      </c>
      <c r="H436" s="35">
        <v>158.69999999999999</v>
      </c>
      <c r="I436" s="34" t="s">
        <v>49</v>
      </c>
      <c r="J436" s="36" t="s">
        <v>50</v>
      </c>
      <c r="K436" s="37"/>
      <c r="L436" s="38">
        <v>158.69999999999999</v>
      </c>
      <c r="M436" s="38"/>
      <c r="N436" s="38"/>
      <c r="O436" s="38"/>
      <c r="P436" s="39">
        <f t="shared" si="237"/>
        <v>158.69999999999999</v>
      </c>
      <c r="Q436" s="311"/>
      <c r="R436" s="40">
        <v>60000</v>
      </c>
      <c r="S436" s="41">
        <f>P436*R436</f>
        <v>9522000</v>
      </c>
      <c r="T436" s="41"/>
      <c r="U436" s="42" t="s">
        <v>64</v>
      </c>
      <c r="V436" s="66">
        <f>P436-66</f>
        <v>92.699999999999989</v>
      </c>
      <c r="W436" s="38" t="s">
        <v>48</v>
      </c>
      <c r="X436" s="41">
        <v>9500</v>
      </c>
      <c r="Y436" s="43">
        <v>1</v>
      </c>
      <c r="Z436" s="41">
        <f t="shared" si="241"/>
        <v>880649.99999999988</v>
      </c>
      <c r="AA436" s="41">
        <f>P436*10000</f>
        <v>1587000</v>
      </c>
      <c r="AB436" s="41">
        <f t="shared" si="233"/>
        <v>28566000</v>
      </c>
      <c r="AC436" s="38"/>
      <c r="AD436" s="44">
        <f t="shared" si="238"/>
        <v>0</v>
      </c>
      <c r="AE436" s="41">
        <f t="shared" si="242"/>
        <v>40555650</v>
      </c>
      <c r="AF436" s="314"/>
      <c r="AG436" s="45"/>
      <c r="AH436" s="318"/>
      <c r="AI436" s="67"/>
      <c r="AJ436" s="67"/>
      <c r="AK436" s="67"/>
    </row>
    <row r="437" spans="1:37" s="68" customFormat="1" ht="45" customHeight="1">
      <c r="A437" s="177"/>
      <c r="B437" s="33" t="s">
        <v>504</v>
      </c>
      <c r="C437" s="50"/>
      <c r="D437" s="50"/>
      <c r="E437" s="51"/>
      <c r="F437" s="34"/>
      <c r="G437" s="34"/>
      <c r="H437" s="35"/>
      <c r="I437" s="34"/>
      <c r="J437" s="36"/>
      <c r="K437" s="37"/>
      <c r="L437" s="38"/>
      <c r="M437" s="38"/>
      <c r="N437" s="38"/>
      <c r="O437" s="38"/>
      <c r="P437" s="39">
        <f t="shared" si="237"/>
        <v>0</v>
      </c>
      <c r="Q437" s="240"/>
      <c r="R437" s="40"/>
      <c r="S437" s="41">
        <f t="shared" si="240"/>
        <v>0</v>
      </c>
      <c r="T437" s="41"/>
      <c r="U437" s="42" t="s">
        <v>220</v>
      </c>
      <c r="V437" s="66">
        <v>66</v>
      </c>
      <c r="W437" s="38" t="s">
        <v>52</v>
      </c>
      <c r="X437" s="41">
        <v>44500</v>
      </c>
      <c r="Y437" s="43">
        <v>1</v>
      </c>
      <c r="Z437" s="41">
        <f t="shared" si="241"/>
        <v>2937000</v>
      </c>
      <c r="AA437" s="41"/>
      <c r="AB437" s="41"/>
      <c r="AC437" s="38"/>
      <c r="AD437" s="44">
        <f t="shared" si="238"/>
        <v>0</v>
      </c>
      <c r="AE437" s="41">
        <f t="shared" si="242"/>
        <v>2937000</v>
      </c>
      <c r="AF437" s="314"/>
      <c r="AG437" s="45"/>
      <c r="AH437" s="318"/>
      <c r="AI437" s="67"/>
      <c r="AJ437" s="67"/>
      <c r="AK437" s="67"/>
    </row>
    <row r="438" spans="1:37" s="68" customFormat="1" ht="45" customHeight="1">
      <c r="A438" s="177"/>
      <c r="B438" s="33" t="s">
        <v>504</v>
      </c>
      <c r="C438" s="50"/>
      <c r="D438" s="50"/>
      <c r="E438" s="51"/>
      <c r="F438" s="34">
        <v>286</v>
      </c>
      <c r="G438" s="34">
        <v>28</v>
      </c>
      <c r="H438" s="35">
        <v>521.70000000000005</v>
      </c>
      <c r="I438" s="34" t="s">
        <v>49</v>
      </c>
      <c r="J438" s="36" t="s">
        <v>50</v>
      </c>
      <c r="K438" s="37"/>
      <c r="L438" s="38">
        <v>122.4</v>
      </c>
      <c r="M438" s="38"/>
      <c r="N438" s="38"/>
      <c r="O438" s="38"/>
      <c r="P438" s="39">
        <f t="shared" si="237"/>
        <v>122.4</v>
      </c>
      <c r="Q438" s="240"/>
      <c r="R438" s="40">
        <v>60000</v>
      </c>
      <c r="S438" s="41">
        <f t="shared" si="240"/>
        <v>7344000</v>
      </c>
      <c r="T438" s="41"/>
      <c r="U438" s="42" t="s">
        <v>64</v>
      </c>
      <c r="V438" s="66">
        <v>122.4</v>
      </c>
      <c r="W438" s="38" t="s">
        <v>48</v>
      </c>
      <c r="X438" s="41">
        <v>9500</v>
      </c>
      <c r="Y438" s="43">
        <v>1</v>
      </c>
      <c r="Z438" s="41">
        <f t="shared" si="241"/>
        <v>1162800</v>
      </c>
      <c r="AA438" s="41">
        <f t="shared" ref="AA438:AA439" si="257">P438*10000</f>
        <v>1224000</v>
      </c>
      <c r="AB438" s="41">
        <f>P438*R438*3</f>
        <v>22032000</v>
      </c>
      <c r="AC438" s="38"/>
      <c r="AD438" s="44">
        <f t="shared" si="238"/>
        <v>0</v>
      </c>
      <c r="AE438" s="41">
        <f t="shared" si="242"/>
        <v>31762800</v>
      </c>
      <c r="AF438" s="314"/>
      <c r="AG438" s="45" t="s">
        <v>506</v>
      </c>
      <c r="AH438" s="318"/>
      <c r="AI438" s="67"/>
      <c r="AJ438" s="67"/>
      <c r="AK438" s="67"/>
    </row>
    <row r="439" spans="1:37" s="68" customFormat="1" ht="45" customHeight="1">
      <c r="A439" s="177"/>
      <c r="B439" s="33" t="s">
        <v>504</v>
      </c>
      <c r="C439" s="72">
        <v>110</v>
      </c>
      <c r="D439" s="72">
        <v>5</v>
      </c>
      <c r="E439" s="73">
        <v>264</v>
      </c>
      <c r="F439" s="34">
        <v>279</v>
      </c>
      <c r="G439" s="34">
        <v>28</v>
      </c>
      <c r="H439" s="35">
        <v>149.1</v>
      </c>
      <c r="I439" s="34" t="s">
        <v>45</v>
      </c>
      <c r="J439" s="36" t="s">
        <v>50</v>
      </c>
      <c r="K439" s="37">
        <v>149.1</v>
      </c>
      <c r="L439" s="38">
        <f>H439-K439</f>
        <v>0</v>
      </c>
      <c r="M439" s="38"/>
      <c r="N439" s="38"/>
      <c r="O439" s="38"/>
      <c r="P439" s="39">
        <f t="shared" si="237"/>
        <v>149.1</v>
      </c>
      <c r="Q439" s="240"/>
      <c r="R439" s="40">
        <v>60000</v>
      </c>
      <c r="S439" s="41">
        <f t="shared" si="240"/>
        <v>8946000</v>
      </c>
      <c r="T439" s="41"/>
      <c r="U439" s="42" t="s">
        <v>182</v>
      </c>
      <c r="V439" s="66">
        <f t="shared" ref="V439" si="258">P439</f>
        <v>149.1</v>
      </c>
      <c r="W439" s="38" t="s">
        <v>48</v>
      </c>
      <c r="X439" s="41">
        <v>9500</v>
      </c>
      <c r="Y439" s="43">
        <v>1</v>
      </c>
      <c r="Z439" s="41">
        <f t="shared" si="241"/>
        <v>1416450</v>
      </c>
      <c r="AA439" s="41">
        <f t="shared" si="257"/>
        <v>1491000</v>
      </c>
      <c r="AB439" s="41">
        <f t="shared" ref="AB439:AB462" si="259">P439*R439*3</f>
        <v>26838000</v>
      </c>
      <c r="AC439" s="38"/>
      <c r="AD439" s="44">
        <f t="shared" si="238"/>
        <v>0</v>
      </c>
      <c r="AE439" s="41">
        <f t="shared" si="242"/>
        <v>38691450</v>
      </c>
      <c r="AF439" s="314"/>
      <c r="AG439" s="45"/>
      <c r="AH439" s="318"/>
      <c r="AI439" s="67"/>
      <c r="AJ439" s="67"/>
      <c r="AK439" s="67"/>
    </row>
    <row r="440" spans="1:37" s="68" customFormat="1" ht="45" customHeight="1">
      <c r="A440" s="177"/>
      <c r="B440" s="33" t="s">
        <v>504</v>
      </c>
      <c r="C440" s="74"/>
      <c r="D440" s="74"/>
      <c r="E440" s="75"/>
      <c r="F440" s="34"/>
      <c r="G440" s="34"/>
      <c r="H440" s="35"/>
      <c r="I440" s="34"/>
      <c r="J440" s="36"/>
      <c r="K440" s="37"/>
      <c r="L440" s="38"/>
      <c r="M440" s="38"/>
      <c r="N440" s="38"/>
      <c r="O440" s="38"/>
      <c r="P440" s="39">
        <f t="shared" si="237"/>
        <v>0</v>
      </c>
      <c r="Q440" s="240"/>
      <c r="R440" s="40"/>
      <c r="S440" s="41"/>
      <c r="T440" s="41"/>
      <c r="U440" s="42" t="s">
        <v>220</v>
      </c>
      <c r="V440" s="66">
        <v>20</v>
      </c>
      <c r="W440" s="38" t="s">
        <v>52</v>
      </c>
      <c r="X440" s="41"/>
      <c r="Y440" s="43"/>
      <c r="Z440" s="41">
        <f t="shared" si="241"/>
        <v>0</v>
      </c>
      <c r="AA440" s="41"/>
      <c r="AB440" s="41"/>
      <c r="AC440" s="38"/>
      <c r="AD440" s="44">
        <f t="shared" si="238"/>
        <v>0</v>
      </c>
      <c r="AE440" s="41">
        <f t="shared" si="242"/>
        <v>0</v>
      </c>
      <c r="AF440" s="314"/>
      <c r="AG440" s="45" t="s">
        <v>445</v>
      </c>
      <c r="AH440" s="318"/>
      <c r="AI440" s="67"/>
      <c r="AJ440" s="67"/>
      <c r="AK440" s="67"/>
    </row>
    <row r="441" spans="1:37" s="68" customFormat="1" ht="45" customHeight="1">
      <c r="A441" s="177"/>
      <c r="B441" s="33" t="s">
        <v>504</v>
      </c>
      <c r="C441" s="77"/>
      <c r="D441" s="77"/>
      <c r="E441" s="78"/>
      <c r="F441" s="34">
        <v>280</v>
      </c>
      <c r="G441" s="34">
        <v>28</v>
      </c>
      <c r="H441" s="35">
        <v>147.69999999999999</v>
      </c>
      <c r="I441" s="34" t="s">
        <v>45</v>
      </c>
      <c r="J441" s="36" t="s">
        <v>50</v>
      </c>
      <c r="K441" s="37">
        <f>264-149.1</f>
        <v>114.9</v>
      </c>
      <c r="L441" s="38">
        <f>H441-K441-9.3</f>
        <v>23.499999999999982</v>
      </c>
      <c r="M441" s="38"/>
      <c r="N441" s="38"/>
      <c r="O441" s="38"/>
      <c r="P441" s="39">
        <f t="shared" si="237"/>
        <v>138.39999999999998</v>
      </c>
      <c r="Q441" s="240"/>
      <c r="R441" s="40">
        <v>60000</v>
      </c>
      <c r="S441" s="41">
        <f>P441*R441</f>
        <v>8303999.9999999991</v>
      </c>
      <c r="T441" s="41"/>
      <c r="U441" s="42" t="s">
        <v>182</v>
      </c>
      <c r="V441" s="66">
        <f>P441</f>
        <v>138.39999999999998</v>
      </c>
      <c r="W441" s="38" t="s">
        <v>48</v>
      </c>
      <c r="X441" s="41">
        <v>9500</v>
      </c>
      <c r="Y441" s="43">
        <v>1</v>
      </c>
      <c r="Z441" s="41">
        <f t="shared" si="241"/>
        <v>1314799.9999999998</v>
      </c>
      <c r="AA441" s="41">
        <f>P441*10000</f>
        <v>1383999.9999999998</v>
      </c>
      <c r="AB441" s="41">
        <f t="shared" si="259"/>
        <v>24911999.999999996</v>
      </c>
      <c r="AC441" s="38"/>
      <c r="AD441" s="44">
        <f t="shared" si="238"/>
        <v>0</v>
      </c>
      <c r="AE441" s="41">
        <f t="shared" si="242"/>
        <v>35914799.999999993</v>
      </c>
      <c r="AF441" s="314"/>
      <c r="AG441" s="45"/>
      <c r="AH441" s="318"/>
      <c r="AI441" s="67"/>
      <c r="AJ441" s="67"/>
      <c r="AK441" s="67"/>
    </row>
    <row r="442" spans="1:37" s="68" customFormat="1" ht="45" customHeight="1">
      <c r="A442" s="178"/>
      <c r="B442" s="33" t="s">
        <v>504</v>
      </c>
      <c r="C442" s="77"/>
      <c r="D442" s="77"/>
      <c r="E442" s="78"/>
      <c r="F442" s="34"/>
      <c r="G442" s="34"/>
      <c r="H442" s="35"/>
      <c r="I442" s="34"/>
      <c r="J442" s="36"/>
      <c r="K442" s="37"/>
      <c r="L442" s="38"/>
      <c r="M442" s="38"/>
      <c r="N442" s="38"/>
      <c r="O442" s="38"/>
      <c r="P442" s="39">
        <f t="shared" si="237"/>
        <v>0</v>
      </c>
      <c r="Q442" s="94"/>
      <c r="R442" s="40"/>
      <c r="S442" s="41"/>
      <c r="T442" s="41"/>
      <c r="U442" s="42" t="s">
        <v>220</v>
      </c>
      <c r="V442" s="66">
        <v>20</v>
      </c>
      <c r="W442" s="38" t="s">
        <v>52</v>
      </c>
      <c r="X442" s="41"/>
      <c r="Y442" s="43"/>
      <c r="Z442" s="41">
        <f t="shared" si="241"/>
        <v>0</v>
      </c>
      <c r="AA442" s="41"/>
      <c r="AB442" s="41"/>
      <c r="AC442" s="38"/>
      <c r="AD442" s="44">
        <f t="shared" si="238"/>
        <v>0</v>
      </c>
      <c r="AE442" s="41">
        <f t="shared" si="242"/>
        <v>0</v>
      </c>
      <c r="AF442" s="315"/>
      <c r="AG442" s="45" t="s">
        <v>445</v>
      </c>
      <c r="AH442" s="318"/>
      <c r="AI442" s="67"/>
      <c r="AJ442" s="67"/>
      <c r="AK442" s="67"/>
    </row>
    <row r="443" spans="1:37" s="47" customFormat="1" ht="48" customHeight="1">
      <c r="A443" s="307">
        <v>105</v>
      </c>
      <c r="B443" s="33" t="s">
        <v>507</v>
      </c>
      <c r="C443" s="50"/>
      <c r="D443" s="50"/>
      <c r="E443" s="51"/>
      <c r="F443" s="34">
        <v>202</v>
      </c>
      <c r="G443" s="34">
        <v>28</v>
      </c>
      <c r="H443" s="35">
        <v>77.400000000000006</v>
      </c>
      <c r="I443" s="34" t="s">
        <v>45</v>
      </c>
      <c r="J443" s="36" t="s">
        <v>50</v>
      </c>
      <c r="K443" s="37"/>
      <c r="L443" s="38">
        <f>H443-K443</f>
        <v>77.400000000000006</v>
      </c>
      <c r="M443" s="38"/>
      <c r="N443" s="38"/>
      <c r="O443" s="38"/>
      <c r="P443" s="39">
        <f t="shared" si="237"/>
        <v>77.400000000000006</v>
      </c>
      <c r="Q443" s="310">
        <f>SUM(P443:P446)</f>
        <v>630.4</v>
      </c>
      <c r="R443" s="40">
        <v>60000</v>
      </c>
      <c r="S443" s="41">
        <f t="shared" ref="S443:S452" si="260">P443*R443</f>
        <v>4644000</v>
      </c>
      <c r="T443" s="41"/>
      <c r="U443" s="42" t="s">
        <v>47</v>
      </c>
      <c r="V443" s="66">
        <f>P443</f>
        <v>77.400000000000006</v>
      </c>
      <c r="W443" s="38" t="s">
        <v>48</v>
      </c>
      <c r="X443" s="41">
        <v>9500</v>
      </c>
      <c r="Y443" s="43">
        <v>1</v>
      </c>
      <c r="Z443" s="41">
        <f t="shared" si="241"/>
        <v>735300</v>
      </c>
      <c r="AA443" s="41">
        <f t="shared" ref="AA443:AA452" si="261">P443*10000</f>
        <v>774000</v>
      </c>
      <c r="AB443" s="41">
        <f t="shared" si="259"/>
        <v>13932000</v>
      </c>
      <c r="AC443" s="38">
        <v>1</v>
      </c>
      <c r="AD443" s="44">
        <f t="shared" si="238"/>
        <v>3500000</v>
      </c>
      <c r="AE443" s="41">
        <f t="shared" si="242"/>
        <v>23585300</v>
      </c>
      <c r="AF443" s="313">
        <f>SUM(AE443:AE446)</f>
        <v>168417450</v>
      </c>
      <c r="AG443" s="45"/>
      <c r="AH443" s="318" t="s">
        <v>508</v>
      </c>
      <c r="AI443" s="46"/>
      <c r="AJ443" s="46"/>
      <c r="AK443" s="46"/>
    </row>
    <row r="444" spans="1:37" s="47" customFormat="1" ht="48" customHeight="1">
      <c r="A444" s="308"/>
      <c r="B444" s="33" t="s">
        <v>507</v>
      </c>
      <c r="C444" s="50">
        <v>128</v>
      </c>
      <c r="D444" s="50">
        <v>5</v>
      </c>
      <c r="E444" s="51">
        <v>120</v>
      </c>
      <c r="F444" s="34">
        <v>207</v>
      </c>
      <c r="G444" s="34">
        <v>28</v>
      </c>
      <c r="H444" s="35">
        <v>123.3</v>
      </c>
      <c r="I444" s="34" t="s">
        <v>49</v>
      </c>
      <c r="J444" s="36" t="s">
        <v>50</v>
      </c>
      <c r="K444" s="37">
        <f t="shared" ref="K444:K462" si="262">E444</f>
        <v>120</v>
      </c>
      <c r="L444" s="38">
        <f>H444-K444</f>
        <v>3.2999999999999972</v>
      </c>
      <c r="M444" s="38"/>
      <c r="N444" s="38"/>
      <c r="O444" s="38"/>
      <c r="P444" s="39">
        <f t="shared" si="237"/>
        <v>123.3</v>
      </c>
      <c r="Q444" s="311"/>
      <c r="R444" s="40">
        <v>60000</v>
      </c>
      <c r="S444" s="41">
        <f t="shared" si="260"/>
        <v>7398000</v>
      </c>
      <c r="T444" s="41"/>
      <c r="U444" s="42" t="s">
        <v>509</v>
      </c>
      <c r="V444" s="60">
        <v>25</v>
      </c>
      <c r="W444" s="38" t="s">
        <v>52</v>
      </c>
      <c r="X444" s="41">
        <v>125000</v>
      </c>
      <c r="Y444" s="43">
        <v>0.8</v>
      </c>
      <c r="Z444" s="41">
        <f t="shared" si="241"/>
        <v>2500000</v>
      </c>
      <c r="AA444" s="41">
        <f t="shared" si="261"/>
        <v>1233000</v>
      </c>
      <c r="AB444" s="41">
        <f t="shared" si="259"/>
        <v>22194000</v>
      </c>
      <c r="AC444" s="38"/>
      <c r="AD444" s="44">
        <f t="shared" si="238"/>
        <v>0</v>
      </c>
      <c r="AE444" s="41">
        <f t="shared" si="242"/>
        <v>33325000</v>
      </c>
      <c r="AF444" s="314"/>
      <c r="AG444" s="45"/>
      <c r="AH444" s="318"/>
      <c r="AI444" s="46"/>
      <c r="AJ444" s="46"/>
      <c r="AK444" s="46"/>
    </row>
    <row r="445" spans="1:37" s="47" customFormat="1" ht="48" customHeight="1">
      <c r="A445" s="308"/>
      <c r="B445" s="33" t="s">
        <v>507</v>
      </c>
      <c r="C445" s="50"/>
      <c r="D445" s="50"/>
      <c r="E445" s="51"/>
      <c r="F445" s="34">
        <v>292</v>
      </c>
      <c r="G445" s="34">
        <v>28</v>
      </c>
      <c r="H445" s="35">
        <v>175</v>
      </c>
      <c r="I445" s="34" t="s">
        <v>49</v>
      </c>
      <c r="J445" s="36" t="s">
        <v>50</v>
      </c>
      <c r="K445" s="37"/>
      <c r="L445" s="38">
        <f>H445-K445</f>
        <v>175</v>
      </c>
      <c r="M445" s="38"/>
      <c r="N445" s="38"/>
      <c r="O445" s="38"/>
      <c r="P445" s="39">
        <f t="shared" si="237"/>
        <v>175</v>
      </c>
      <c r="Q445" s="311"/>
      <c r="R445" s="40">
        <v>60000</v>
      </c>
      <c r="S445" s="41">
        <f t="shared" si="260"/>
        <v>10500000</v>
      </c>
      <c r="T445" s="41"/>
      <c r="U445" s="42" t="s">
        <v>47</v>
      </c>
      <c r="V445" s="66">
        <f t="shared" ref="V445" si="263">P445</f>
        <v>175</v>
      </c>
      <c r="W445" s="38" t="s">
        <v>48</v>
      </c>
      <c r="X445" s="41">
        <v>9500</v>
      </c>
      <c r="Y445" s="43">
        <v>1</v>
      </c>
      <c r="Z445" s="41">
        <f t="shared" si="241"/>
        <v>1662500</v>
      </c>
      <c r="AA445" s="41">
        <f t="shared" si="261"/>
        <v>1750000</v>
      </c>
      <c r="AB445" s="41">
        <f t="shared" si="259"/>
        <v>31500000</v>
      </c>
      <c r="AC445" s="38"/>
      <c r="AD445" s="44">
        <f t="shared" si="238"/>
        <v>0</v>
      </c>
      <c r="AE445" s="41">
        <f t="shared" si="242"/>
        <v>45412500</v>
      </c>
      <c r="AF445" s="314"/>
      <c r="AG445" s="45"/>
      <c r="AH445" s="318"/>
      <c r="AI445" s="46"/>
      <c r="AJ445" s="46"/>
      <c r="AK445" s="46"/>
    </row>
    <row r="446" spans="1:37" s="47" customFormat="1" ht="48" customHeight="1">
      <c r="A446" s="309"/>
      <c r="B446" s="33" t="s">
        <v>507</v>
      </c>
      <c r="C446" s="50">
        <v>179</v>
      </c>
      <c r="D446" s="50">
        <v>5</v>
      </c>
      <c r="E446" s="51">
        <v>240</v>
      </c>
      <c r="F446" s="34">
        <v>533</v>
      </c>
      <c r="G446" s="34">
        <v>28</v>
      </c>
      <c r="H446" s="35">
        <v>254.7</v>
      </c>
      <c r="I446" s="34" t="s">
        <v>49</v>
      </c>
      <c r="J446" s="36" t="s">
        <v>111</v>
      </c>
      <c r="K446" s="37">
        <f t="shared" si="262"/>
        <v>240</v>
      </c>
      <c r="L446" s="38">
        <f>H446-K446</f>
        <v>14.699999999999989</v>
      </c>
      <c r="M446" s="38"/>
      <c r="N446" s="38"/>
      <c r="O446" s="38"/>
      <c r="P446" s="39">
        <f t="shared" si="237"/>
        <v>254.7</v>
      </c>
      <c r="Q446" s="312"/>
      <c r="R446" s="40">
        <v>60000</v>
      </c>
      <c r="S446" s="41">
        <f t="shared" si="260"/>
        <v>15282000</v>
      </c>
      <c r="T446" s="41"/>
      <c r="U446" s="42" t="s">
        <v>47</v>
      </c>
      <c r="V446" s="66">
        <f>P446</f>
        <v>254.7</v>
      </c>
      <c r="W446" s="38" t="s">
        <v>48</v>
      </c>
      <c r="X446" s="41">
        <v>9500</v>
      </c>
      <c r="Y446" s="43">
        <v>1</v>
      </c>
      <c r="Z446" s="41">
        <f t="shared" si="241"/>
        <v>2419650</v>
      </c>
      <c r="AA446" s="41">
        <f t="shared" si="261"/>
        <v>2547000</v>
      </c>
      <c r="AB446" s="41">
        <f t="shared" si="259"/>
        <v>45846000</v>
      </c>
      <c r="AC446" s="38"/>
      <c r="AD446" s="44">
        <f t="shared" si="238"/>
        <v>0</v>
      </c>
      <c r="AE446" s="41">
        <f t="shared" si="242"/>
        <v>66094650</v>
      </c>
      <c r="AF446" s="315"/>
      <c r="AG446" s="45"/>
      <c r="AH446" s="318"/>
      <c r="AI446" s="46"/>
      <c r="AJ446" s="46"/>
      <c r="AK446" s="46"/>
    </row>
    <row r="447" spans="1:37" s="68" customFormat="1" ht="48" customHeight="1">
      <c r="A447" s="307">
        <v>106</v>
      </c>
      <c r="B447" s="33" t="s">
        <v>510</v>
      </c>
      <c r="C447" s="72">
        <v>83</v>
      </c>
      <c r="D447" s="72">
        <v>4</v>
      </c>
      <c r="E447" s="73">
        <v>348</v>
      </c>
      <c r="F447" s="34">
        <v>194</v>
      </c>
      <c r="G447" s="34">
        <v>28</v>
      </c>
      <c r="H447" s="35">
        <v>276.10000000000002</v>
      </c>
      <c r="I447" s="34" t="s">
        <v>45</v>
      </c>
      <c r="J447" s="36" t="s">
        <v>63</v>
      </c>
      <c r="K447" s="37">
        <v>276.10000000000002</v>
      </c>
      <c r="L447" s="38">
        <f t="shared" ref="L447" si="264">H447-K447</f>
        <v>0</v>
      </c>
      <c r="M447" s="38"/>
      <c r="N447" s="38"/>
      <c r="O447" s="38"/>
      <c r="P447" s="39">
        <f t="shared" si="237"/>
        <v>276.10000000000002</v>
      </c>
      <c r="Q447" s="310">
        <f>SUM(P447:P453)</f>
        <v>1428.6</v>
      </c>
      <c r="R447" s="40">
        <v>60000</v>
      </c>
      <c r="S447" s="41">
        <f t="shared" si="260"/>
        <v>16566000.000000002</v>
      </c>
      <c r="T447" s="41"/>
      <c r="U447" s="42" t="s">
        <v>64</v>
      </c>
      <c r="V447" s="66">
        <f t="shared" ref="V447:V448" si="265">P447</f>
        <v>276.10000000000002</v>
      </c>
      <c r="W447" s="38" t="s">
        <v>48</v>
      </c>
      <c r="X447" s="41">
        <v>9500</v>
      </c>
      <c r="Y447" s="43">
        <v>1</v>
      </c>
      <c r="Z447" s="41">
        <f t="shared" si="241"/>
        <v>2622950</v>
      </c>
      <c r="AA447" s="41">
        <f t="shared" si="261"/>
        <v>2761000</v>
      </c>
      <c r="AB447" s="41">
        <f t="shared" si="259"/>
        <v>49698000.000000007</v>
      </c>
      <c r="AC447" s="38">
        <v>2</v>
      </c>
      <c r="AD447" s="44">
        <f t="shared" si="238"/>
        <v>7000000</v>
      </c>
      <c r="AE447" s="41">
        <f t="shared" si="242"/>
        <v>78647950</v>
      </c>
      <c r="AF447" s="313">
        <f>SUM(AE447:AE453)</f>
        <v>315709350</v>
      </c>
      <c r="AG447" s="45"/>
      <c r="AH447" s="318" t="s">
        <v>511</v>
      </c>
      <c r="AI447" s="67"/>
      <c r="AJ447" s="67"/>
      <c r="AK447" s="67"/>
    </row>
    <row r="448" spans="1:37" s="68" customFormat="1" ht="48" customHeight="1">
      <c r="A448" s="308"/>
      <c r="B448" s="33" t="s">
        <v>510</v>
      </c>
      <c r="C448" s="77"/>
      <c r="D448" s="77"/>
      <c r="E448" s="78"/>
      <c r="F448" s="34">
        <v>195</v>
      </c>
      <c r="G448" s="34">
        <v>28</v>
      </c>
      <c r="H448" s="35">
        <v>349.5</v>
      </c>
      <c r="I448" s="34" t="s">
        <v>45</v>
      </c>
      <c r="J448" s="36" t="s">
        <v>63</v>
      </c>
      <c r="K448" s="37">
        <f>348-276.1</f>
        <v>71.899999999999977</v>
      </c>
      <c r="L448" s="38">
        <f>82.9-71.9</f>
        <v>11</v>
      </c>
      <c r="M448" s="38"/>
      <c r="N448" s="38"/>
      <c r="O448" s="38"/>
      <c r="P448" s="39">
        <f t="shared" si="237"/>
        <v>82.899999999999977</v>
      </c>
      <c r="Q448" s="311"/>
      <c r="R448" s="40">
        <v>60000</v>
      </c>
      <c r="S448" s="41">
        <f t="shared" si="260"/>
        <v>4973999.9999999991</v>
      </c>
      <c r="T448" s="41"/>
      <c r="U448" s="42" t="s">
        <v>64</v>
      </c>
      <c r="V448" s="66">
        <f t="shared" si="265"/>
        <v>82.899999999999977</v>
      </c>
      <c r="W448" s="38" t="s">
        <v>48</v>
      </c>
      <c r="X448" s="41">
        <v>9500</v>
      </c>
      <c r="Y448" s="43">
        <v>1</v>
      </c>
      <c r="Z448" s="41">
        <f t="shared" si="241"/>
        <v>787549.99999999977</v>
      </c>
      <c r="AA448" s="41">
        <f t="shared" si="261"/>
        <v>828999.99999999977</v>
      </c>
      <c r="AB448" s="41">
        <f t="shared" si="259"/>
        <v>14921999.999999996</v>
      </c>
      <c r="AC448" s="38"/>
      <c r="AD448" s="44">
        <f t="shared" si="238"/>
        <v>0</v>
      </c>
      <c r="AE448" s="41">
        <f t="shared" si="242"/>
        <v>21512549.999999996</v>
      </c>
      <c r="AF448" s="314"/>
      <c r="AG448" s="45"/>
      <c r="AH448" s="318"/>
      <c r="AI448" s="67"/>
      <c r="AJ448" s="67"/>
      <c r="AK448" s="67"/>
    </row>
    <row r="449" spans="1:37" s="68" customFormat="1" ht="48" customHeight="1">
      <c r="A449" s="308"/>
      <c r="B449" s="33" t="s">
        <v>510</v>
      </c>
      <c r="C449" s="72" t="s">
        <v>512</v>
      </c>
      <c r="D449" s="72">
        <v>5</v>
      </c>
      <c r="E449" s="73">
        <v>396</v>
      </c>
      <c r="F449" s="34">
        <v>87</v>
      </c>
      <c r="G449" s="34">
        <v>28</v>
      </c>
      <c r="H449" s="35">
        <v>271.3</v>
      </c>
      <c r="I449" s="34" t="s">
        <v>49</v>
      </c>
      <c r="J449" s="36" t="s">
        <v>50</v>
      </c>
      <c r="K449" s="37">
        <v>271.3</v>
      </c>
      <c r="L449" s="38">
        <f t="shared" ref="L449:L451" si="266">H449-K449</f>
        <v>0</v>
      </c>
      <c r="M449" s="38"/>
      <c r="N449" s="38"/>
      <c r="O449" s="38"/>
      <c r="P449" s="39">
        <f t="shared" si="237"/>
        <v>271.3</v>
      </c>
      <c r="Q449" s="311"/>
      <c r="R449" s="40">
        <v>60000</v>
      </c>
      <c r="S449" s="41">
        <f t="shared" si="260"/>
        <v>16278000</v>
      </c>
      <c r="T449" s="41"/>
      <c r="U449" s="42" t="s">
        <v>246</v>
      </c>
      <c r="V449" s="66">
        <v>54</v>
      </c>
      <c r="W449" s="38" t="s">
        <v>52</v>
      </c>
      <c r="X449" s="41">
        <v>118000</v>
      </c>
      <c r="Y449" s="43">
        <v>0.8</v>
      </c>
      <c r="Z449" s="41">
        <f t="shared" si="241"/>
        <v>5097600</v>
      </c>
      <c r="AA449" s="41">
        <f t="shared" si="261"/>
        <v>2713000</v>
      </c>
      <c r="AB449" s="41">
        <f t="shared" si="259"/>
        <v>48834000</v>
      </c>
      <c r="AC449" s="38"/>
      <c r="AD449" s="44">
        <f t="shared" si="238"/>
        <v>0</v>
      </c>
      <c r="AE449" s="41">
        <f t="shared" si="242"/>
        <v>72922600</v>
      </c>
      <c r="AF449" s="314"/>
      <c r="AG449" s="45"/>
      <c r="AH449" s="318"/>
      <c r="AI449" s="67"/>
      <c r="AJ449" s="67"/>
      <c r="AK449" s="67"/>
    </row>
    <row r="450" spans="1:37" s="68" customFormat="1" ht="54.75" customHeight="1">
      <c r="A450" s="308"/>
      <c r="B450" s="33" t="s">
        <v>510</v>
      </c>
      <c r="C450" s="77"/>
      <c r="D450" s="77"/>
      <c r="E450" s="78"/>
      <c r="F450" s="34">
        <v>206</v>
      </c>
      <c r="G450" s="34">
        <v>28</v>
      </c>
      <c r="H450" s="35">
        <v>144.6</v>
      </c>
      <c r="I450" s="34" t="s">
        <v>49</v>
      </c>
      <c r="J450" s="36" t="s">
        <v>242</v>
      </c>
      <c r="K450" s="37">
        <f>396-271.3</f>
        <v>124.69999999999999</v>
      </c>
      <c r="L450" s="38">
        <f t="shared" si="266"/>
        <v>19.900000000000006</v>
      </c>
      <c r="M450" s="38"/>
      <c r="N450" s="38"/>
      <c r="O450" s="38"/>
      <c r="P450" s="39">
        <f t="shared" si="237"/>
        <v>144.6</v>
      </c>
      <c r="Q450" s="311"/>
      <c r="R450" s="40">
        <v>60000</v>
      </c>
      <c r="S450" s="41">
        <f t="shared" si="260"/>
        <v>8676000</v>
      </c>
      <c r="T450" s="41"/>
      <c r="U450" s="42" t="s">
        <v>246</v>
      </c>
      <c r="V450" s="66">
        <v>29</v>
      </c>
      <c r="W450" s="38" t="s">
        <v>52</v>
      </c>
      <c r="X450" s="41">
        <v>118000</v>
      </c>
      <c r="Y450" s="43">
        <v>0.8</v>
      </c>
      <c r="Z450" s="41">
        <f t="shared" si="241"/>
        <v>2737600</v>
      </c>
      <c r="AA450" s="41">
        <f t="shared" si="261"/>
        <v>1446000</v>
      </c>
      <c r="AB450" s="41">
        <f t="shared" si="259"/>
        <v>26028000</v>
      </c>
      <c r="AC450" s="38"/>
      <c r="AD450" s="44">
        <f t="shared" si="238"/>
        <v>0</v>
      </c>
      <c r="AE450" s="41">
        <f t="shared" si="242"/>
        <v>38887600</v>
      </c>
      <c r="AF450" s="314"/>
      <c r="AG450" s="45"/>
      <c r="AH450" s="318"/>
      <c r="AI450" s="67"/>
      <c r="AJ450" s="67"/>
      <c r="AK450" s="67"/>
    </row>
    <row r="451" spans="1:37" s="68" customFormat="1" ht="54.75" customHeight="1">
      <c r="A451" s="308"/>
      <c r="B451" s="33" t="s">
        <v>510</v>
      </c>
      <c r="C451" s="50">
        <v>120</v>
      </c>
      <c r="D451" s="50">
        <v>4</v>
      </c>
      <c r="E451" s="51">
        <v>192</v>
      </c>
      <c r="F451" s="34">
        <v>396</v>
      </c>
      <c r="G451" s="34">
        <v>28</v>
      </c>
      <c r="H451" s="35">
        <v>253.4</v>
      </c>
      <c r="I451" s="34" t="s">
        <v>49</v>
      </c>
      <c r="J451" s="36" t="s">
        <v>417</v>
      </c>
      <c r="K451" s="37">
        <f t="shared" ref="K451" si="267">E451</f>
        <v>192</v>
      </c>
      <c r="L451" s="38">
        <f t="shared" si="266"/>
        <v>61.400000000000006</v>
      </c>
      <c r="M451" s="38"/>
      <c r="N451" s="38"/>
      <c r="O451" s="38"/>
      <c r="P451" s="39">
        <f t="shared" si="237"/>
        <v>253.4</v>
      </c>
      <c r="Q451" s="311"/>
      <c r="R451" s="40">
        <v>60000</v>
      </c>
      <c r="S451" s="41">
        <f t="shared" si="260"/>
        <v>15204000</v>
      </c>
      <c r="T451" s="41"/>
      <c r="U451" s="42" t="s">
        <v>513</v>
      </c>
      <c r="V451" s="66">
        <v>21</v>
      </c>
      <c r="W451" s="38" t="s">
        <v>52</v>
      </c>
      <c r="X451" s="41">
        <v>1091000</v>
      </c>
      <c r="Y451" s="43">
        <v>0.8</v>
      </c>
      <c r="Z451" s="41">
        <f t="shared" si="241"/>
        <v>18328800</v>
      </c>
      <c r="AA451" s="41">
        <f t="shared" si="261"/>
        <v>2534000</v>
      </c>
      <c r="AB451" s="41">
        <f t="shared" si="259"/>
        <v>45612000</v>
      </c>
      <c r="AC451" s="38"/>
      <c r="AD451" s="44">
        <f t="shared" si="238"/>
        <v>0</v>
      </c>
      <c r="AE451" s="41">
        <f t="shared" si="242"/>
        <v>81678800</v>
      </c>
      <c r="AF451" s="314"/>
      <c r="AG451" s="45"/>
      <c r="AH451" s="318"/>
      <c r="AI451" s="67"/>
      <c r="AJ451" s="67"/>
      <c r="AK451" s="67"/>
    </row>
    <row r="452" spans="1:37" s="68" customFormat="1" ht="49.5" customHeight="1">
      <c r="A452" s="308"/>
      <c r="B452" s="33" t="s">
        <v>510</v>
      </c>
      <c r="C452" s="50"/>
      <c r="D452" s="50"/>
      <c r="E452" s="51"/>
      <c r="F452" s="34">
        <v>241</v>
      </c>
      <c r="G452" s="34">
        <v>21</v>
      </c>
      <c r="H452" s="35">
        <v>400.3</v>
      </c>
      <c r="I452" s="34" t="s">
        <v>45</v>
      </c>
      <c r="J452" s="36" t="s">
        <v>54</v>
      </c>
      <c r="K452" s="37"/>
      <c r="L452" s="38">
        <v>28.4</v>
      </c>
      <c r="M452" s="38"/>
      <c r="N452" s="38"/>
      <c r="O452" s="38"/>
      <c r="P452" s="39">
        <f t="shared" si="237"/>
        <v>28.4</v>
      </c>
      <c r="Q452" s="311"/>
      <c r="R452" s="40">
        <v>60000</v>
      </c>
      <c r="S452" s="41">
        <f t="shared" si="260"/>
        <v>1704000</v>
      </c>
      <c r="T452" s="41"/>
      <c r="U452" s="42" t="s">
        <v>47</v>
      </c>
      <c r="V452" s="66">
        <f>P452</f>
        <v>28.4</v>
      </c>
      <c r="W452" s="38" t="s">
        <v>48</v>
      </c>
      <c r="X452" s="41">
        <v>9500</v>
      </c>
      <c r="Y452" s="43">
        <v>1</v>
      </c>
      <c r="Z452" s="41">
        <f t="shared" si="241"/>
        <v>269800</v>
      </c>
      <c r="AA452" s="41">
        <f t="shared" si="261"/>
        <v>284000</v>
      </c>
      <c r="AB452" s="41">
        <f t="shared" si="259"/>
        <v>5112000</v>
      </c>
      <c r="AC452" s="38"/>
      <c r="AD452" s="44">
        <f t="shared" si="238"/>
        <v>0</v>
      </c>
      <c r="AE452" s="41">
        <f t="shared" si="242"/>
        <v>7369800</v>
      </c>
      <c r="AF452" s="314"/>
      <c r="AG452" s="45"/>
      <c r="AH452" s="318"/>
      <c r="AI452" s="67"/>
      <c r="AJ452" s="67"/>
      <c r="AK452" s="67"/>
    </row>
    <row r="453" spans="1:37" s="68" customFormat="1" ht="49.5" customHeight="1">
      <c r="A453" s="309"/>
      <c r="B453" s="33" t="s">
        <v>510</v>
      </c>
      <c r="C453" s="50"/>
      <c r="D453" s="50"/>
      <c r="E453" s="51"/>
      <c r="F453" s="34">
        <v>241</v>
      </c>
      <c r="G453" s="34">
        <v>21</v>
      </c>
      <c r="H453" s="35">
        <v>400.3</v>
      </c>
      <c r="I453" s="34" t="s">
        <v>45</v>
      </c>
      <c r="J453" s="36" t="s">
        <v>54</v>
      </c>
      <c r="K453" s="37"/>
      <c r="L453" s="38"/>
      <c r="M453" s="38"/>
      <c r="N453" s="38">
        <v>371.9</v>
      </c>
      <c r="O453" s="38"/>
      <c r="P453" s="39">
        <f t="shared" si="237"/>
        <v>371.9</v>
      </c>
      <c r="Q453" s="312"/>
      <c r="R453" s="40"/>
      <c r="S453" s="41"/>
      <c r="T453" s="41">
        <f>N453*30000</f>
        <v>11157000</v>
      </c>
      <c r="U453" s="42" t="s">
        <v>47</v>
      </c>
      <c r="V453" s="66">
        <f>P453</f>
        <v>371.9</v>
      </c>
      <c r="W453" s="38" t="s">
        <v>48</v>
      </c>
      <c r="X453" s="41">
        <v>9500</v>
      </c>
      <c r="Y453" s="43">
        <v>1</v>
      </c>
      <c r="Z453" s="41">
        <f>V453*X453*Y453</f>
        <v>3533050</v>
      </c>
      <c r="AA453" s="41"/>
      <c r="AB453" s="41"/>
      <c r="AC453" s="38"/>
      <c r="AD453" s="44">
        <f t="shared" si="238"/>
        <v>0</v>
      </c>
      <c r="AE453" s="41">
        <f t="shared" si="242"/>
        <v>14690050</v>
      </c>
      <c r="AF453" s="315"/>
      <c r="AG453" s="45"/>
      <c r="AH453" s="318"/>
      <c r="AI453" s="67"/>
      <c r="AJ453" s="67"/>
      <c r="AK453" s="67"/>
    </row>
    <row r="454" spans="1:37" s="68" customFormat="1" ht="49.5" customHeight="1">
      <c r="A454" s="307">
        <v>107</v>
      </c>
      <c r="B454" s="33" t="s">
        <v>514</v>
      </c>
      <c r="C454" s="50"/>
      <c r="D454" s="50"/>
      <c r="E454" s="51"/>
      <c r="F454" s="34">
        <v>121</v>
      </c>
      <c r="G454" s="34">
        <v>28</v>
      </c>
      <c r="H454" s="35">
        <v>166.6</v>
      </c>
      <c r="I454" s="34" t="s">
        <v>55</v>
      </c>
      <c r="J454" s="36" t="s">
        <v>46</v>
      </c>
      <c r="K454" s="37"/>
      <c r="L454" s="38"/>
      <c r="M454" s="38">
        <v>166.6</v>
      </c>
      <c r="N454" s="38"/>
      <c r="O454" s="38"/>
      <c r="P454" s="39">
        <f t="shared" si="237"/>
        <v>166.6</v>
      </c>
      <c r="Q454" s="310">
        <f>SUM(P454:P462)</f>
        <v>1680.5</v>
      </c>
      <c r="R454" s="40">
        <v>55000</v>
      </c>
      <c r="S454" s="41">
        <f>P454*R454</f>
        <v>9163000</v>
      </c>
      <c r="T454" s="41"/>
      <c r="U454" s="42" t="s">
        <v>100</v>
      </c>
      <c r="V454" s="66">
        <v>10</v>
      </c>
      <c r="W454" s="38" t="s">
        <v>52</v>
      </c>
      <c r="X454" s="41">
        <v>118000</v>
      </c>
      <c r="Y454" s="43">
        <v>1</v>
      </c>
      <c r="Z454" s="41">
        <f t="shared" si="241"/>
        <v>1180000</v>
      </c>
      <c r="AA454" s="41">
        <f>P454*7000</f>
        <v>1166200</v>
      </c>
      <c r="AB454" s="41">
        <f>P454*R454*3</f>
        <v>27489000</v>
      </c>
      <c r="AC454" s="38">
        <v>4</v>
      </c>
      <c r="AD454" s="44">
        <f t="shared" si="238"/>
        <v>14000000</v>
      </c>
      <c r="AE454" s="41">
        <f t="shared" si="242"/>
        <v>52998200</v>
      </c>
      <c r="AF454" s="313">
        <f>SUM(AE454:AE462)</f>
        <v>468384400</v>
      </c>
      <c r="AG454" s="45"/>
      <c r="AH454" s="318" t="s">
        <v>515</v>
      </c>
      <c r="AI454" s="67"/>
      <c r="AJ454" s="67"/>
      <c r="AK454" s="67"/>
    </row>
    <row r="455" spans="1:37" s="68" customFormat="1" ht="49.5" customHeight="1">
      <c r="A455" s="308"/>
      <c r="B455" s="33" t="s">
        <v>514</v>
      </c>
      <c r="C455" s="50">
        <v>200</v>
      </c>
      <c r="D455" s="50">
        <v>5</v>
      </c>
      <c r="E455" s="51">
        <v>348</v>
      </c>
      <c r="F455" s="34">
        <v>132</v>
      </c>
      <c r="G455" s="34">
        <v>28</v>
      </c>
      <c r="H455" s="35">
        <v>364.6</v>
      </c>
      <c r="I455" s="34" t="s">
        <v>49</v>
      </c>
      <c r="J455" s="36" t="s">
        <v>50</v>
      </c>
      <c r="K455" s="37">
        <f t="shared" ref="K455" si="268">E455</f>
        <v>348</v>
      </c>
      <c r="L455" s="38">
        <f t="shared" ref="L455:L462" si="269">H455-K455</f>
        <v>16.600000000000023</v>
      </c>
      <c r="M455" s="38"/>
      <c r="N455" s="38"/>
      <c r="O455" s="38"/>
      <c r="P455" s="39">
        <f t="shared" si="237"/>
        <v>364.6</v>
      </c>
      <c r="Q455" s="311"/>
      <c r="R455" s="40">
        <v>60000</v>
      </c>
      <c r="S455" s="41">
        <f>P455*R455</f>
        <v>21876000</v>
      </c>
      <c r="T455" s="41"/>
      <c r="U455" s="42" t="s">
        <v>64</v>
      </c>
      <c r="V455" s="66">
        <f t="shared" ref="V455" si="270">P455</f>
        <v>364.6</v>
      </c>
      <c r="W455" s="38" t="s">
        <v>48</v>
      </c>
      <c r="X455" s="41">
        <v>9500</v>
      </c>
      <c r="Y455" s="43">
        <v>1</v>
      </c>
      <c r="Z455" s="41">
        <f t="shared" si="241"/>
        <v>3463700</v>
      </c>
      <c r="AA455" s="41">
        <f>P455*10000</f>
        <v>3646000</v>
      </c>
      <c r="AB455" s="41">
        <f t="shared" si="259"/>
        <v>65628000</v>
      </c>
      <c r="AC455" s="38"/>
      <c r="AD455" s="44">
        <f t="shared" si="238"/>
        <v>0</v>
      </c>
      <c r="AE455" s="41">
        <f t="shared" si="242"/>
        <v>94613700</v>
      </c>
      <c r="AF455" s="314"/>
      <c r="AG455" s="45"/>
      <c r="AH455" s="318"/>
      <c r="AI455" s="67"/>
      <c r="AJ455" s="67"/>
      <c r="AK455" s="67"/>
    </row>
    <row r="456" spans="1:37" s="68" customFormat="1" ht="49.5" customHeight="1">
      <c r="A456" s="308"/>
      <c r="B456" s="33" t="s">
        <v>514</v>
      </c>
      <c r="C456" s="50"/>
      <c r="D456" s="50"/>
      <c r="E456" s="51"/>
      <c r="F456" s="34"/>
      <c r="G456" s="34"/>
      <c r="H456" s="35"/>
      <c r="I456" s="34"/>
      <c r="J456" s="36"/>
      <c r="K456" s="37"/>
      <c r="L456" s="38"/>
      <c r="M456" s="38"/>
      <c r="N456" s="38"/>
      <c r="O456" s="38"/>
      <c r="P456" s="39">
        <f t="shared" si="237"/>
        <v>0</v>
      </c>
      <c r="Q456" s="311"/>
      <c r="R456" s="40"/>
      <c r="S456" s="41"/>
      <c r="T456" s="41"/>
      <c r="U456" s="42" t="s">
        <v>220</v>
      </c>
      <c r="V456" s="66"/>
      <c r="W456" s="38"/>
      <c r="X456" s="41"/>
      <c r="Y456" s="43"/>
      <c r="Z456" s="41">
        <f t="shared" si="241"/>
        <v>0</v>
      </c>
      <c r="AA456" s="41"/>
      <c r="AB456" s="41"/>
      <c r="AC456" s="38"/>
      <c r="AD456" s="44">
        <f t="shared" si="238"/>
        <v>0</v>
      </c>
      <c r="AE456" s="41">
        <f t="shared" si="242"/>
        <v>0</v>
      </c>
      <c r="AF456" s="314"/>
      <c r="AG456" s="45"/>
      <c r="AH456" s="318"/>
      <c r="AI456" s="67"/>
      <c r="AJ456" s="67"/>
      <c r="AK456" s="67"/>
    </row>
    <row r="457" spans="1:37" s="68" customFormat="1" ht="49.5" customHeight="1">
      <c r="A457" s="308"/>
      <c r="B457" s="33" t="s">
        <v>514</v>
      </c>
      <c r="C457" s="50"/>
      <c r="D457" s="50"/>
      <c r="E457" s="51"/>
      <c r="F457" s="34">
        <v>200</v>
      </c>
      <c r="G457" s="34">
        <v>28</v>
      </c>
      <c r="H457" s="35">
        <v>438.9</v>
      </c>
      <c r="I457" s="34" t="s">
        <v>45</v>
      </c>
      <c r="J457" s="36" t="s">
        <v>63</v>
      </c>
      <c r="K457" s="37"/>
      <c r="L457" s="38">
        <f t="shared" si="269"/>
        <v>438.9</v>
      </c>
      <c r="M457" s="38"/>
      <c r="N457" s="38"/>
      <c r="O457" s="38"/>
      <c r="P457" s="39">
        <f t="shared" si="237"/>
        <v>438.9</v>
      </c>
      <c r="Q457" s="311"/>
      <c r="R457" s="40">
        <v>60000</v>
      </c>
      <c r="S457" s="41">
        <f>P457*R457</f>
        <v>26334000</v>
      </c>
      <c r="T457" s="41"/>
      <c r="U457" s="42" t="s">
        <v>64</v>
      </c>
      <c r="V457" s="66">
        <f>P457</f>
        <v>438.9</v>
      </c>
      <c r="W457" s="38" t="s">
        <v>48</v>
      </c>
      <c r="X457" s="41">
        <v>9500</v>
      </c>
      <c r="Y457" s="43">
        <v>1</v>
      </c>
      <c r="Z457" s="41">
        <f t="shared" si="241"/>
        <v>4169550</v>
      </c>
      <c r="AA457" s="41">
        <f>P457*10000</f>
        <v>4389000</v>
      </c>
      <c r="AB457" s="41">
        <f t="shared" si="259"/>
        <v>79002000</v>
      </c>
      <c r="AC457" s="38"/>
      <c r="AD457" s="44">
        <f t="shared" si="238"/>
        <v>0</v>
      </c>
      <c r="AE457" s="41">
        <f t="shared" si="242"/>
        <v>113894550</v>
      </c>
      <c r="AF457" s="314"/>
      <c r="AG457" s="45"/>
      <c r="AH457" s="318"/>
      <c r="AI457" s="67"/>
      <c r="AJ457" s="67"/>
      <c r="AK457" s="67"/>
    </row>
    <row r="458" spans="1:37" s="68" customFormat="1" ht="49.5" customHeight="1">
      <c r="A458" s="308"/>
      <c r="B458" s="33" t="s">
        <v>514</v>
      </c>
      <c r="C458" s="50"/>
      <c r="D458" s="50"/>
      <c r="E458" s="51"/>
      <c r="F458" s="34"/>
      <c r="G458" s="34"/>
      <c r="H458" s="35"/>
      <c r="I458" s="34"/>
      <c r="J458" s="36"/>
      <c r="K458" s="37"/>
      <c r="L458" s="38"/>
      <c r="M458" s="38"/>
      <c r="N458" s="38"/>
      <c r="O458" s="38"/>
      <c r="P458" s="39">
        <f t="shared" si="237"/>
        <v>0</v>
      </c>
      <c r="Q458" s="311"/>
      <c r="R458" s="40"/>
      <c r="S458" s="41"/>
      <c r="T458" s="41"/>
      <c r="U458" s="42" t="s">
        <v>220</v>
      </c>
      <c r="V458" s="66"/>
      <c r="W458" s="38"/>
      <c r="X458" s="41"/>
      <c r="Y458" s="43"/>
      <c r="Z458" s="41">
        <f t="shared" si="241"/>
        <v>0</v>
      </c>
      <c r="AA458" s="41"/>
      <c r="AB458" s="41"/>
      <c r="AC458" s="38"/>
      <c r="AD458" s="44">
        <f t="shared" si="238"/>
        <v>0</v>
      </c>
      <c r="AE458" s="41">
        <f t="shared" si="242"/>
        <v>0</v>
      </c>
      <c r="AF458" s="314"/>
      <c r="AG458" s="45"/>
      <c r="AH458" s="318"/>
      <c r="AI458" s="67"/>
      <c r="AJ458" s="67"/>
      <c r="AK458" s="67"/>
    </row>
    <row r="459" spans="1:37" s="68" customFormat="1" ht="49.5" customHeight="1">
      <c r="A459" s="308"/>
      <c r="B459" s="33" t="s">
        <v>514</v>
      </c>
      <c r="C459" s="50">
        <v>124</v>
      </c>
      <c r="D459" s="50">
        <v>4</v>
      </c>
      <c r="E459" s="51">
        <v>288</v>
      </c>
      <c r="F459" s="34">
        <v>350</v>
      </c>
      <c r="G459" s="34">
        <v>28</v>
      </c>
      <c r="H459" s="35">
        <v>319.10000000000002</v>
      </c>
      <c r="I459" s="34" t="s">
        <v>49</v>
      </c>
      <c r="J459" s="36" t="s">
        <v>198</v>
      </c>
      <c r="K459" s="37">
        <f t="shared" ref="K459" si="271">E459</f>
        <v>288</v>
      </c>
      <c r="L459" s="38">
        <f t="shared" si="269"/>
        <v>31.100000000000023</v>
      </c>
      <c r="M459" s="38"/>
      <c r="N459" s="38"/>
      <c r="O459" s="38"/>
      <c r="P459" s="39">
        <f t="shared" si="237"/>
        <v>319.10000000000002</v>
      </c>
      <c r="Q459" s="311"/>
      <c r="R459" s="40">
        <v>60000</v>
      </c>
      <c r="S459" s="41">
        <f t="shared" ref="S459:S460" si="272">P459*R459</f>
        <v>19146000</v>
      </c>
      <c r="T459" s="41"/>
      <c r="U459" s="42" t="s">
        <v>516</v>
      </c>
      <c r="V459" s="66">
        <f t="shared" ref="V459:V460" si="273">P459</f>
        <v>319.10000000000002</v>
      </c>
      <c r="W459" s="38" t="s">
        <v>48</v>
      </c>
      <c r="X459" s="41">
        <v>43000</v>
      </c>
      <c r="Y459" s="43">
        <v>1</v>
      </c>
      <c r="Z459" s="41">
        <f t="shared" si="241"/>
        <v>13721300.000000002</v>
      </c>
      <c r="AA459" s="41">
        <f t="shared" ref="AA459:AA460" si="274">P459*10000</f>
        <v>3191000</v>
      </c>
      <c r="AB459" s="41">
        <f t="shared" si="259"/>
        <v>57438000</v>
      </c>
      <c r="AC459" s="38"/>
      <c r="AD459" s="44">
        <f t="shared" si="238"/>
        <v>0</v>
      </c>
      <c r="AE459" s="41">
        <f t="shared" si="242"/>
        <v>93496300</v>
      </c>
      <c r="AF459" s="314"/>
      <c r="AG459" s="45"/>
      <c r="AH459" s="318"/>
      <c r="AI459" s="67"/>
      <c r="AJ459" s="67"/>
      <c r="AK459" s="67"/>
    </row>
    <row r="460" spans="1:37" s="68" customFormat="1" ht="49.5" customHeight="1">
      <c r="A460" s="308"/>
      <c r="B460" s="33" t="s">
        <v>514</v>
      </c>
      <c r="C460" s="50"/>
      <c r="D460" s="50"/>
      <c r="E460" s="51"/>
      <c r="F460" s="34">
        <v>528</v>
      </c>
      <c r="G460" s="34">
        <v>28</v>
      </c>
      <c r="H460" s="35">
        <v>135.5</v>
      </c>
      <c r="I460" s="34" t="s">
        <v>49</v>
      </c>
      <c r="J460" s="36" t="s">
        <v>111</v>
      </c>
      <c r="K460" s="37"/>
      <c r="L460" s="38">
        <f t="shared" si="269"/>
        <v>135.5</v>
      </c>
      <c r="M460" s="38"/>
      <c r="N460" s="38"/>
      <c r="O460" s="38"/>
      <c r="P460" s="39">
        <f t="shared" ref="P460:P462" si="275">SUM(K460:O460)</f>
        <v>135.5</v>
      </c>
      <c r="Q460" s="311"/>
      <c r="R460" s="40">
        <v>60000</v>
      </c>
      <c r="S460" s="41">
        <f t="shared" si="272"/>
        <v>8130000</v>
      </c>
      <c r="T460" s="41"/>
      <c r="U460" s="42" t="s">
        <v>64</v>
      </c>
      <c r="V460" s="66">
        <f t="shared" si="273"/>
        <v>135.5</v>
      </c>
      <c r="W460" s="38" t="s">
        <v>48</v>
      </c>
      <c r="X460" s="41">
        <v>9500</v>
      </c>
      <c r="Y460" s="43">
        <v>1</v>
      </c>
      <c r="Z460" s="41">
        <f t="shared" si="241"/>
        <v>1287250</v>
      </c>
      <c r="AA460" s="41">
        <f t="shared" si="274"/>
        <v>1355000</v>
      </c>
      <c r="AB460" s="41">
        <f t="shared" si="259"/>
        <v>24390000</v>
      </c>
      <c r="AC460" s="38"/>
      <c r="AD460" s="44">
        <f t="shared" ref="AD460:AD462" si="276">AC460*3500000</f>
        <v>0</v>
      </c>
      <c r="AE460" s="41">
        <f t="shared" si="242"/>
        <v>35162250</v>
      </c>
      <c r="AF460" s="314"/>
      <c r="AG460" s="81"/>
      <c r="AH460" s="318"/>
      <c r="AI460" s="67"/>
      <c r="AJ460" s="67"/>
      <c r="AK460" s="67"/>
    </row>
    <row r="461" spans="1:37" s="68" customFormat="1" ht="49.5" customHeight="1">
      <c r="A461" s="308"/>
      <c r="B461" s="33" t="s">
        <v>514</v>
      </c>
      <c r="C461" s="50"/>
      <c r="D461" s="50"/>
      <c r="E461" s="51"/>
      <c r="F461" s="34"/>
      <c r="G461" s="34"/>
      <c r="H461" s="35"/>
      <c r="I461" s="34"/>
      <c r="J461" s="36"/>
      <c r="K461" s="37"/>
      <c r="L461" s="38"/>
      <c r="M461" s="38"/>
      <c r="N461" s="38"/>
      <c r="O461" s="38"/>
      <c r="P461" s="39">
        <f t="shared" si="275"/>
        <v>0</v>
      </c>
      <c r="Q461" s="311"/>
      <c r="R461" s="40"/>
      <c r="S461" s="41"/>
      <c r="T461" s="41"/>
      <c r="U461" s="42" t="s">
        <v>220</v>
      </c>
      <c r="V461" s="66">
        <v>16</v>
      </c>
      <c r="W461" s="38" t="s">
        <v>52</v>
      </c>
      <c r="X461" s="41">
        <v>44500</v>
      </c>
      <c r="Y461" s="43">
        <v>1</v>
      </c>
      <c r="Z461" s="41">
        <f t="shared" si="241"/>
        <v>712000</v>
      </c>
      <c r="AA461" s="41"/>
      <c r="AB461" s="41"/>
      <c r="AC461" s="38"/>
      <c r="AD461" s="44">
        <f t="shared" si="276"/>
        <v>0</v>
      </c>
      <c r="AE461" s="41">
        <f t="shared" si="242"/>
        <v>712000</v>
      </c>
      <c r="AF461" s="314"/>
      <c r="AG461" s="45"/>
      <c r="AH461" s="318"/>
      <c r="AI461" s="67"/>
      <c r="AJ461" s="67"/>
      <c r="AK461" s="67"/>
    </row>
    <row r="462" spans="1:37" s="68" customFormat="1" ht="49.5" customHeight="1">
      <c r="A462" s="309"/>
      <c r="B462" s="33" t="s">
        <v>514</v>
      </c>
      <c r="C462" s="50">
        <v>221</v>
      </c>
      <c r="D462" s="50">
        <v>5</v>
      </c>
      <c r="E462" s="51">
        <v>168</v>
      </c>
      <c r="F462" s="34">
        <v>84</v>
      </c>
      <c r="G462" s="34">
        <v>28</v>
      </c>
      <c r="H462" s="35">
        <v>255.8</v>
      </c>
      <c r="I462" s="34" t="s">
        <v>49</v>
      </c>
      <c r="J462" s="36" t="s">
        <v>109</v>
      </c>
      <c r="K462" s="37">
        <f t="shared" si="262"/>
        <v>168</v>
      </c>
      <c r="L462" s="38">
        <f t="shared" si="269"/>
        <v>87.800000000000011</v>
      </c>
      <c r="M462" s="38"/>
      <c r="N462" s="38"/>
      <c r="O462" s="38"/>
      <c r="P462" s="39">
        <f t="shared" si="275"/>
        <v>255.8</v>
      </c>
      <c r="Q462" s="312"/>
      <c r="R462" s="40">
        <v>60000</v>
      </c>
      <c r="S462" s="41">
        <f>P462*R462</f>
        <v>15348000</v>
      </c>
      <c r="T462" s="41"/>
      <c r="U462" s="42" t="s">
        <v>517</v>
      </c>
      <c r="V462" s="66">
        <f>P462</f>
        <v>255.8</v>
      </c>
      <c r="W462" s="38" t="s">
        <v>48</v>
      </c>
      <c r="X462" s="41">
        <v>53000</v>
      </c>
      <c r="Y462" s="43">
        <v>1</v>
      </c>
      <c r="Z462" s="41">
        <f t="shared" si="241"/>
        <v>13557400</v>
      </c>
      <c r="AA462" s="41">
        <f>P462*10000</f>
        <v>2558000</v>
      </c>
      <c r="AB462" s="41">
        <f t="shared" si="259"/>
        <v>46044000</v>
      </c>
      <c r="AC462" s="38"/>
      <c r="AD462" s="44">
        <f t="shared" si="276"/>
        <v>0</v>
      </c>
      <c r="AE462" s="41">
        <f t="shared" si="242"/>
        <v>77507400</v>
      </c>
      <c r="AF462" s="315"/>
      <c r="AG462" s="45"/>
      <c r="AH462" s="318"/>
      <c r="AI462" s="67"/>
      <c r="AJ462" s="67"/>
      <c r="AK462" s="67"/>
    </row>
    <row r="463" spans="1:37" ht="36" customHeight="1">
      <c r="A463" s="180">
        <v>108</v>
      </c>
      <c r="B463" s="170" t="s">
        <v>523</v>
      </c>
      <c r="C463" s="179"/>
      <c r="D463" s="171"/>
      <c r="E463" s="181"/>
      <c r="F463" s="356" t="s">
        <v>524</v>
      </c>
      <c r="G463" s="357"/>
      <c r="H463" s="357"/>
      <c r="I463" s="357"/>
      <c r="J463" s="357"/>
      <c r="K463" s="357"/>
      <c r="L463" s="358"/>
      <c r="M463" s="182"/>
      <c r="N463" s="182"/>
      <c r="O463" s="182"/>
      <c r="P463" s="182"/>
      <c r="Q463" s="183"/>
      <c r="R463" s="184"/>
      <c r="S463" s="183"/>
      <c r="T463" s="183"/>
      <c r="U463" s="185"/>
      <c r="V463" s="186"/>
      <c r="W463" s="187"/>
      <c r="X463" s="69"/>
      <c r="Y463" s="188"/>
      <c r="Z463" s="66"/>
      <c r="AA463" s="36"/>
      <c r="AB463" s="36"/>
      <c r="AC463" s="189"/>
      <c r="AD463" s="189"/>
      <c r="AE463" s="187">
        <f>N10*R11</f>
        <v>45210000</v>
      </c>
      <c r="AF463" s="191">
        <f>N10*R11</f>
        <v>45210000</v>
      </c>
      <c r="AG463" s="190"/>
      <c r="AH463" s="241"/>
    </row>
    <row r="464" spans="1:37" ht="11.25" customHeight="1">
      <c r="B464" s="102"/>
      <c r="C464" s="117"/>
      <c r="D464" s="117"/>
      <c r="E464" s="118"/>
      <c r="F464" s="119"/>
      <c r="G464" s="119"/>
      <c r="H464" s="120"/>
      <c r="I464" s="119"/>
      <c r="J464" s="121"/>
      <c r="K464" s="122"/>
      <c r="L464" s="108"/>
      <c r="M464" s="108"/>
      <c r="N464" s="108"/>
      <c r="O464" s="108"/>
      <c r="P464" s="109"/>
      <c r="Q464" s="110"/>
      <c r="R464" s="111"/>
      <c r="S464" s="110"/>
      <c r="T464" s="110"/>
      <c r="U464" s="123"/>
      <c r="V464" s="112"/>
      <c r="W464" s="113"/>
      <c r="X464" s="99"/>
      <c r="Y464" s="101"/>
      <c r="Z464" s="114"/>
      <c r="AA464" s="115"/>
      <c r="AB464" s="115"/>
      <c r="AE464" s="116"/>
      <c r="AF464" s="124"/>
      <c r="AG464" s="125"/>
    </row>
    <row r="465" spans="2:33" ht="22.5">
      <c r="B465" s="102"/>
      <c r="C465" s="117"/>
      <c r="D465" s="117"/>
      <c r="E465" s="118"/>
      <c r="F465" s="119"/>
      <c r="G465" s="119"/>
      <c r="H465" s="120"/>
      <c r="I465" s="119"/>
      <c r="J465" s="121"/>
      <c r="K465" s="122"/>
      <c r="L465" s="108"/>
      <c r="M465" s="108"/>
      <c r="N465" s="108"/>
      <c r="O465" s="108"/>
      <c r="P465" s="109"/>
      <c r="Q465" s="110"/>
      <c r="R465" s="111"/>
      <c r="S465" s="110"/>
      <c r="T465" s="110"/>
      <c r="U465" s="123"/>
      <c r="V465" s="112"/>
      <c r="W465" s="359" t="s">
        <v>525</v>
      </c>
      <c r="X465" s="359"/>
      <c r="Y465" s="359"/>
      <c r="Z465" s="359"/>
      <c r="AA465" s="359"/>
      <c r="AB465" s="359"/>
      <c r="AC465" s="359"/>
      <c r="AD465" s="359"/>
      <c r="AE465" s="359"/>
      <c r="AF465" s="359"/>
      <c r="AG465" s="359"/>
    </row>
    <row r="466" spans="2:33" ht="29.25" customHeight="1">
      <c r="B466" s="102"/>
      <c r="C466" s="117"/>
      <c r="D466" s="117"/>
      <c r="E466" s="118"/>
      <c r="F466" s="119"/>
      <c r="G466" s="119"/>
      <c r="H466" s="120"/>
      <c r="I466" s="119"/>
      <c r="J466" s="121"/>
      <c r="K466" s="122"/>
      <c r="L466" s="108"/>
      <c r="M466" s="108"/>
      <c r="N466" s="108"/>
      <c r="O466" s="108"/>
      <c r="P466" s="109"/>
      <c r="Q466" s="110"/>
      <c r="R466" s="111"/>
      <c r="S466" s="110"/>
      <c r="T466" s="110"/>
      <c r="U466" s="123"/>
      <c r="V466" s="112"/>
      <c r="W466" s="359" t="s">
        <v>526</v>
      </c>
      <c r="X466" s="359"/>
      <c r="Y466" s="359"/>
      <c r="Z466" s="359"/>
      <c r="AA466" s="359"/>
      <c r="AB466" s="359"/>
      <c r="AC466" s="359"/>
      <c r="AD466" s="359"/>
      <c r="AE466" s="359"/>
      <c r="AF466" s="359"/>
      <c r="AG466" s="359"/>
    </row>
    <row r="467" spans="2:33" ht="18.75" customHeight="1">
      <c r="B467" s="102"/>
      <c r="C467" s="117"/>
      <c r="D467" s="117"/>
      <c r="E467" s="118"/>
      <c r="F467" s="119"/>
      <c r="G467" s="119"/>
      <c r="H467" s="120"/>
      <c r="I467" s="119"/>
      <c r="J467" s="121"/>
      <c r="K467" s="122"/>
      <c r="L467" s="108"/>
      <c r="M467" s="108"/>
      <c r="N467" s="108"/>
      <c r="O467" s="108"/>
      <c r="P467" s="109"/>
      <c r="Q467" s="110"/>
      <c r="R467" s="111"/>
      <c r="S467" s="110"/>
      <c r="T467" s="110"/>
      <c r="U467" s="123"/>
      <c r="V467" s="112"/>
      <c r="W467" s="113"/>
      <c r="X467" s="99"/>
      <c r="Y467" s="101"/>
      <c r="Z467" s="114"/>
      <c r="AA467" s="115"/>
      <c r="AB467" s="115"/>
      <c r="AE467" s="116"/>
      <c r="AF467" s="124"/>
      <c r="AG467" s="125"/>
    </row>
    <row r="468" spans="2:33" ht="18.75" customHeight="1">
      <c r="B468" s="102"/>
      <c r="C468" s="117"/>
      <c r="D468" s="117"/>
      <c r="E468" s="118"/>
      <c r="F468" s="119"/>
      <c r="G468" s="119"/>
      <c r="H468" s="120"/>
      <c r="I468" s="119"/>
      <c r="J468" s="121"/>
      <c r="K468" s="122"/>
      <c r="L468" s="108"/>
      <c r="M468" s="108"/>
      <c r="N468" s="108"/>
      <c r="O468" s="108"/>
      <c r="P468" s="109"/>
      <c r="Q468" s="110"/>
      <c r="R468" s="111"/>
      <c r="S468" s="110"/>
      <c r="T468" s="110"/>
      <c r="U468" s="123"/>
      <c r="V468" s="112"/>
      <c r="W468" s="113"/>
      <c r="X468" s="99"/>
      <c r="Y468" s="101"/>
      <c r="Z468" s="114"/>
      <c r="AA468" s="115"/>
      <c r="AB468" s="115"/>
      <c r="AE468" s="116"/>
      <c r="AF468" s="124"/>
      <c r="AG468" s="125"/>
    </row>
    <row r="469" spans="2:33" ht="18.75" customHeight="1">
      <c r="B469" s="102"/>
      <c r="C469" s="117"/>
      <c r="D469" s="117"/>
      <c r="E469" s="118"/>
      <c r="F469" s="119"/>
      <c r="G469" s="119"/>
      <c r="H469" s="126"/>
      <c r="I469" s="119"/>
      <c r="J469" s="121"/>
      <c r="K469" s="122"/>
      <c r="L469" s="109"/>
      <c r="M469" s="109"/>
      <c r="N469" s="109"/>
      <c r="O469" s="109"/>
      <c r="P469" s="109"/>
      <c r="Q469" s="110"/>
      <c r="R469" s="111"/>
      <c r="S469" s="110"/>
      <c r="T469" s="110"/>
      <c r="U469" s="123"/>
      <c r="V469" s="112"/>
      <c r="W469" s="113"/>
      <c r="X469" s="99"/>
      <c r="Y469" s="101"/>
      <c r="Z469" s="127"/>
      <c r="AA469" s="127"/>
      <c r="AB469" s="127"/>
      <c r="AC469" s="127"/>
      <c r="AD469" s="127"/>
      <c r="AE469" s="127"/>
      <c r="AF469" s="127"/>
      <c r="AG469" s="127"/>
    </row>
    <row r="470" spans="2:33" ht="22.5">
      <c r="B470" s="128"/>
      <c r="C470" s="128"/>
      <c r="D470" s="128"/>
      <c r="E470" s="128"/>
      <c r="F470" s="128"/>
      <c r="G470" s="128"/>
      <c r="H470" s="128"/>
      <c r="I470" s="128"/>
      <c r="J470" s="128"/>
      <c r="K470" s="128"/>
      <c r="L470" s="128"/>
      <c r="M470" s="128"/>
      <c r="N470" s="128"/>
      <c r="O470" s="128"/>
      <c r="P470" s="109"/>
      <c r="Q470" s="110"/>
      <c r="R470" s="111"/>
      <c r="S470" s="110"/>
      <c r="T470" s="110"/>
      <c r="U470" s="123"/>
      <c r="V470" s="112"/>
      <c r="W470" s="113"/>
      <c r="X470" s="99"/>
      <c r="Y470" s="101"/>
      <c r="Z470" s="129"/>
      <c r="AA470" s="129"/>
      <c r="AB470" s="129"/>
      <c r="AC470" s="129"/>
      <c r="AD470" s="130"/>
      <c r="AE470" s="129"/>
      <c r="AF470" s="129"/>
      <c r="AG470" s="129"/>
    </row>
    <row r="471" spans="2:33" ht="18.75" customHeight="1">
      <c r="B471" s="102"/>
      <c r="C471" s="131"/>
      <c r="D471" s="131"/>
      <c r="E471" s="132"/>
      <c r="F471" s="131"/>
      <c r="G471" s="131"/>
      <c r="H471" s="133"/>
      <c r="I471" s="131"/>
      <c r="J471" s="134"/>
      <c r="K471" s="131"/>
      <c r="L471" s="135"/>
      <c r="M471" s="135"/>
      <c r="N471" s="135"/>
      <c r="O471" s="135"/>
      <c r="P471" s="136"/>
      <c r="Q471" s="137"/>
      <c r="R471" s="138"/>
      <c r="S471" s="110"/>
      <c r="T471" s="110"/>
      <c r="U471" s="123"/>
      <c r="V471" s="112"/>
      <c r="W471" s="113"/>
      <c r="X471" s="99"/>
      <c r="Y471" s="101"/>
      <c r="Z471" s="114"/>
      <c r="AA471" s="115"/>
      <c r="AB471" s="115"/>
      <c r="AE471" s="116"/>
      <c r="AF471" s="124"/>
      <c r="AG471" s="125"/>
    </row>
    <row r="472" spans="2:33" ht="18.75" customHeight="1">
      <c r="AG472" s="148"/>
    </row>
    <row r="473" spans="2:33" ht="30.75" customHeight="1">
      <c r="W473" s="360" t="s">
        <v>527</v>
      </c>
      <c r="X473" s="361"/>
      <c r="Y473" s="361"/>
      <c r="Z473" s="361"/>
      <c r="AA473" s="361"/>
      <c r="AB473" s="361"/>
      <c r="AC473" s="361"/>
      <c r="AD473" s="361"/>
      <c r="AE473" s="361"/>
      <c r="AF473" s="361"/>
      <c r="AG473" s="361"/>
    </row>
    <row r="474" spans="2:33" ht="18.75" customHeight="1">
      <c r="AG474" s="148"/>
    </row>
    <row r="475" spans="2:33" ht="18.75" customHeight="1">
      <c r="AG475" s="148"/>
    </row>
    <row r="476" spans="2:33" ht="18.75" customHeight="1">
      <c r="AG476" s="148"/>
    </row>
    <row r="477" spans="2:33" ht="18.75" customHeight="1">
      <c r="AG477" s="148"/>
    </row>
    <row r="478" spans="2:33" ht="18.75" customHeight="1">
      <c r="AG478" s="148"/>
    </row>
    <row r="479" spans="2:33" ht="18.75" customHeight="1">
      <c r="AG479" s="148"/>
    </row>
    <row r="480" spans="2:33" ht="18.75" customHeight="1">
      <c r="AG480" s="148"/>
    </row>
    <row r="481" spans="33:33" ht="18.75" customHeight="1">
      <c r="AG481" s="148"/>
    </row>
    <row r="482" spans="33:33" ht="18.75" customHeight="1">
      <c r="AG482" s="148"/>
    </row>
    <row r="483" spans="33:33" ht="18.75" customHeight="1">
      <c r="AG483" s="148"/>
    </row>
    <row r="484" spans="33:33" ht="18.75" customHeight="1">
      <c r="AG484" s="148"/>
    </row>
    <row r="485" spans="33:33" ht="18.75" customHeight="1">
      <c r="AG485" s="148"/>
    </row>
    <row r="486" spans="33:33" ht="18.75" customHeight="1">
      <c r="AG486" s="148"/>
    </row>
    <row r="487" spans="33:33" ht="18.75" customHeight="1">
      <c r="AG487" s="148"/>
    </row>
    <row r="488" spans="33:33" ht="18.75" customHeight="1">
      <c r="AG488" s="149"/>
    </row>
    <row r="489" spans="33:33" ht="18.75" customHeight="1"/>
  </sheetData>
  <autoFilter ref="A9:AP463"/>
  <mergeCells count="337">
    <mergeCell ref="F463:L463"/>
    <mergeCell ref="W465:AG465"/>
    <mergeCell ref="W466:AG466"/>
    <mergeCell ref="W473:AG473"/>
    <mergeCell ref="A1:AG2"/>
    <mergeCell ref="B3:AG3"/>
    <mergeCell ref="A4:AG4"/>
    <mergeCell ref="A6:A8"/>
    <mergeCell ref="B6:B8"/>
    <mergeCell ref="C6:E7"/>
    <mergeCell ref="F6:J7"/>
    <mergeCell ref="K6:N7"/>
    <mergeCell ref="O6:O7"/>
    <mergeCell ref="P6:P8"/>
    <mergeCell ref="A5:AG5"/>
    <mergeCell ref="AF6:AF8"/>
    <mergeCell ref="AG6:AG8"/>
    <mergeCell ref="A10:B10"/>
    <mergeCell ref="F13:F14"/>
    <mergeCell ref="G13:G14"/>
    <mergeCell ref="H13:H14"/>
    <mergeCell ref="I13:I14"/>
    <mergeCell ref="J13:J14"/>
    <mergeCell ref="Q6:Q8"/>
    <mergeCell ref="AF55:AF56"/>
    <mergeCell ref="AF21:AF27"/>
    <mergeCell ref="Q28:Q35"/>
    <mergeCell ref="AF28:AF35"/>
    <mergeCell ref="AF36:AF37"/>
    <mergeCell ref="AF38:AF39"/>
    <mergeCell ref="Q41:Q42"/>
    <mergeCell ref="AF41:AF42"/>
    <mergeCell ref="R6:S7"/>
    <mergeCell ref="T6:T8"/>
    <mergeCell ref="U6:Z7"/>
    <mergeCell ref="AA6:AD7"/>
    <mergeCell ref="AE6:AE8"/>
    <mergeCell ref="Q43:Q44"/>
    <mergeCell ref="AF43:AF44"/>
    <mergeCell ref="Q46:Q54"/>
    <mergeCell ref="AF46:AF54"/>
    <mergeCell ref="Q11:Q18"/>
    <mergeCell ref="AF11:AF18"/>
    <mergeCell ref="AF68:AF71"/>
    <mergeCell ref="Q72:Q73"/>
    <mergeCell ref="AF72:AF73"/>
    <mergeCell ref="Q74:Q76"/>
    <mergeCell ref="AF74:AF76"/>
    <mergeCell ref="Q57:Q59"/>
    <mergeCell ref="AF57:AF59"/>
    <mergeCell ref="Q60:Q64"/>
    <mergeCell ref="AF60:AF64"/>
    <mergeCell ref="Q65:Q67"/>
    <mergeCell ref="AF65:AF67"/>
    <mergeCell ref="AF96:AF97"/>
    <mergeCell ref="Q98:Q103"/>
    <mergeCell ref="AF98:AF103"/>
    <mergeCell ref="Q104:Q106"/>
    <mergeCell ref="AF104:AF106"/>
    <mergeCell ref="AF77:AF78"/>
    <mergeCell ref="Q87:Q89"/>
    <mergeCell ref="AF87:AF89"/>
    <mergeCell ref="AF79:AF82"/>
    <mergeCell ref="Q79:Q82"/>
    <mergeCell ref="AF121:AF127"/>
    <mergeCell ref="Q128:Q133"/>
    <mergeCell ref="AF128:AF133"/>
    <mergeCell ref="Q135:Q139"/>
    <mergeCell ref="AF135:AF139"/>
    <mergeCell ref="Q107:Q109"/>
    <mergeCell ref="Q110:Q113"/>
    <mergeCell ref="AF110:AF113"/>
    <mergeCell ref="Q114:Q118"/>
    <mergeCell ref="AF114:AF118"/>
    <mergeCell ref="Q119:Q120"/>
    <mergeCell ref="AF119:AF120"/>
    <mergeCell ref="AF107:AF109"/>
    <mergeCell ref="AF140:AF144"/>
    <mergeCell ref="C141:C143"/>
    <mergeCell ref="D141:D143"/>
    <mergeCell ref="E141:E143"/>
    <mergeCell ref="Q145:Q146"/>
    <mergeCell ref="AF145:AF146"/>
    <mergeCell ref="I142:I143"/>
    <mergeCell ref="J142:J143"/>
    <mergeCell ref="K142:K143"/>
    <mergeCell ref="L142:L143"/>
    <mergeCell ref="G142:G143"/>
    <mergeCell ref="H142:H143"/>
    <mergeCell ref="AF164:AF166"/>
    <mergeCell ref="F168:F169"/>
    <mergeCell ref="G168:G169"/>
    <mergeCell ref="H168:H169"/>
    <mergeCell ref="I168:I169"/>
    <mergeCell ref="J168:J169"/>
    <mergeCell ref="Q147:Q152"/>
    <mergeCell ref="AF147:AF152"/>
    <mergeCell ref="Q153:Q158"/>
    <mergeCell ref="AF153:AF158"/>
    <mergeCell ref="Q159:Q163"/>
    <mergeCell ref="AF159:AF163"/>
    <mergeCell ref="AF197:AF201"/>
    <mergeCell ref="Q202:Q204"/>
    <mergeCell ref="AF202:AF204"/>
    <mergeCell ref="AF177:AF179"/>
    <mergeCell ref="Q185:Q187"/>
    <mergeCell ref="AF185:AF187"/>
    <mergeCell ref="Q188:Q190"/>
    <mergeCell ref="AF188:AF190"/>
    <mergeCell ref="Q168:Q170"/>
    <mergeCell ref="AF168:AF170"/>
    <mergeCell ref="Q171:Q173"/>
    <mergeCell ref="AF171:AF173"/>
    <mergeCell ref="Q174:Q176"/>
    <mergeCell ref="AF174:AF176"/>
    <mergeCell ref="AF225:AF228"/>
    <mergeCell ref="Q229:Q233"/>
    <mergeCell ref="AF229:AF233"/>
    <mergeCell ref="C230:C231"/>
    <mergeCell ref="D230:D231"/>
    <mergeCell ref="E230:E231"/>
    <mergeCell ref="Q205:Q208"/>
    <mergeCell ref="AF205:AF208"/>
    <mergeCell ref="Q209:Q214"/>
    <mergeCell ref="AF209:AF214"/>
    <mergeCell ref="C215:C219"/>
    <mergeCell ref="D215:D219"/>
    <mergeCell ref="E215:E219"/>
    <mergeCell ref="Q215:Q224"/>
    <mergeCell ref="AF215:AF224"/>
    <mergeCell ref="AF245:AF249"/>
    <mergeCell ref="Q251:Q253"/>
    <mergeCell ref="AF251:AF253"/>
    <mergeCell ref="Q254:Q259"/>
    <mergeCell ref="AF254:AF259"/>
    <mergeCell ref="Q234:Q236"/>
    <mergeCell ref="AF234:AF236"/>
    <mergeCell ref="Q237:Q238"/>
    <mergeCell ref="AF237:AF238"/>
    <mergeCell ref="Q239:Q244"/>
    <mergeCell ref="AF239:AF244"/>
    <mergeCell ref="AF283:AF291"/>
    <mergeCell ref="Q292:Q299"/>
    <mergeCell ref="AF292:AF299"/>
    <mergeCell ref="Q260:Q262"/>
    <mergeCell ref="AF260:AF262"/>
    <mergeCell ref="Q264:Q268"/>
    <mergeCell ref="AF264:AF268"/>
    <mergeCell ref="Q269:Q276"/>
    <mergeCell ref="AF269:AF276"/>
    <mergeCell ref="AF277:AF279"/>
    <mergeCell ref="Q277:Q279"/>
    <mergeCell ref="AF315:AF325"/>
    <mergeCell ref="C318:C320"/>
    <mergeCell ref="D318:D320"/>
    <mergeCell ref="E318:E320"/>
    <mergeCell ref="Q326:Q332"/>
    <mergeCell ref="AF326:AF332"/>
    <mergeCell ref="Q301:Q308"/>
    <mergeCell ref="AF301:AF308"/>
    <mergeCell ref="C309:C311"/>
    <mergeCell ref="D309:D311"/>
    <mergeCell ref="E309:E311"/>
    <mergeCell ref="Q309:Q314"/>
    <mergeCell ref="AF309:AF314"/>
    <mergeCell ref="AF343:AF352"/>
    <mergeCell ref="Q353:Q361"/>
    <mergeCell ref="AF353:AF361"/>
    <mergeCell ref="C355:C358"/>
    <mergeCell ref="D355:D358"/>
    <mergeCell ref="E355:E358"/>
    <mergeCell ref="F338:F339"/>
    <mergeCell ref="G338:G339"/>
    <mergeCell ref="H338:H339"/>
    <mergeCell ref="I338:I339"/>
    <mergeCell ref="J338:J339"/>
    <mergeCell ref="A11:A18"/>
    <mergeCell ref="A21:A27"/>
    <mergeCell ref="A28:A35"/>
    <mergeCell ref="A36:A37"/>
    <mergeCell ref="A38:A39"/>
    <mergeCell ref="A41:A42"/>
    <mergeCell ref="A43:A44"/>
    <mergeCell ref="A46:A54"/>
    <mergeCell ref="Q362:Q370"/>
    <mergeCell ref="Q343:Q352"/>
    <mergeCell ref="Q315:Q325"/>
    <mergeCell ref="Q283:Q291"/>
    <mergeCell ref="Q245:Q249"/>
    <mergeCell ref="Q225:Q228"/>
    <mergeCell ref="Q197:Q201"/>
    <mergeCell ref="C160:C162"/>
    <mergeCell ref="D160:D162"/>
    <mergeCell ref="E160:E162"/>
    <mergeCell ref="Q164:Q166"/>
    <mergeCell ref="Q140:Q144"/>
    <mergeCell ref="Q121:Q127"/>
    <mergeCell ref="Q96:Q97"/>
    <mergeCell ref="Q68:Q71"/>
    <mergeCell ref="Q55:Q56"/>
    <mergeCell ref="A74:A76"/>
    <mergeCell ref="A77:A78"/>
    <mergeCell ref="A79:A86"/>
    <mergeCell ref="A87:A89"/>
    <mergeCell ref="A96:A97"/>
    <mergeCell ref="A98:A103"/>
    <mergeCell ref="A55:A56"/>
    <mergeCell ref="A57:A59"/>
    <mergeCell ref="A60:A64"/>
    <mergeCell ref="A65:A67"/>
    <mergeCell ref="A68:A71"/>
    <mergeCell ref="A72:A73"/>
    <mergeCell ref="A128:A133"/>
    <mergeCell ref="A135:A139"/>
    <mergeCell ref="A140:A144"/>
    <mergeCell ref="F142:F143"/>
    <mergeCell ref="A104:A106"/>
    <mergeCell ref="A107:A109"/>
    <mergeCell ref="A110:A113"/>
    <mergeCell ref="A114:A118"/>
    <mergeCell ref="A119:A120"/>
    <mergeCell ref="A121:A127"/>
    <mergeCell ref="A168:A170"/>
    <mergeCell ref="A171:A173"/>
    <mergeCell ref="A174:A176"/>
    <mergeCell ref="A177:A179"/>
    <mergeCell ref="A180:A183"/>
    <mergeCell ref="A185:A187"/>
    <mergeCell ref="A145:A146"/>
    <mergeCell ref="A147:A152"/>
    <mergeCell ref="A153:A158"/>
    <mergeCell ref="A159:A163"/>
    <mergeCell ref="A164:A166"/>
    <mergeCell ref="A209:A214"/>
    <mergeCell ref="A215:A224"/>
    <mergeCell ref="A225:A228"/>
    <mergeCell ref="A229:A233"/>
    <mergeCell ref="A234:A236"/>
    <mergeCell ref="A188:A190"/>
    <mergeCell ref="A192:A193"/>
    <mergeCell ref="A194:A196"/>
    <mergeCell ref="A197:A201"/>
    <mergeCell ref="A202:A204"/>
    <mergeCell ref="A205:A208"/>
    <mergeCell ref="A269:A276"/>
    <mergeCell ref="A277:A282"/>
    <mergeCell ref="A283:A291"/>
    <mergeCell ref="A292:A299"/>
    <mergeCell ref="A301:A308"/>
    <mergeCell ref="A237:A238"/>
    <mergeCell ref="A239:A244"/>
    <mergeCell ref="A245:A249"/>
    <mergeCell ref="A251:A253"/>
    <mergeCell ref="A254:A259"/>
    <mergeCell ref="A260:A262"/>
    <mergeCell ref="AH385:AH390"/>
    <mergeCell ref="Q391:Q393"/>
    <mergeCell ref="AF391:AF393"/>
    <mergeCell ref="Q394:Q395"/>
    <mergeCell ref="AF394:AF395"/>
    <mergeCell ref="AH394:AH395"/>
    <mergeCell ref="A362:A370"/>
    <mergeCell ref="A372:A376"/>
    <mergeCell ref="A377:A381"/>
    <mergeCell ref="A382:A384"/>
    <mergeCell ref="Q385:Q390"/>
    <mergeCell ref="AF385:AF390"/>
    <mergeCell ref="Q382:Q384"/>
    <mergeCell ref="AF382:AF384"/>
    <mergeCell ref="AF362:AF370"/>
    <mergeCell ref="Q372:Q376"/>
    <mergeCell ref="AF372:AF376"/>
    <mergeCell ref="Q377:Q381"/>
    <mergeCell ref="AF377:AF381"/>
    <mergeCell ref="AH416:AH421"/>
    <mergeCell ref="Q404:Q407"/>
    <mergeCell ref="AF404:AF407"/>
    <mergeCell ref="AH404:AH407"/>
    <mergeCell ref="Q408:Q409"/>
    <mergeCell ref="AF408:AF409"/>
    <mergeCell ref="AH408:AH409"/>
    <mergeCell ref="Q396:Q399"/>
    <mergeCell ref="AF396:AF399"/>
    <mergeCell ref="AH396:AH399"/>
    <mergeCell ref="Q401:Q403"/>
    <mergeCell ref="AF401:AF403"/>
    <mergeCell ref="AH401:AH403"/>
    <mergeCell ref="AF416:AF417"/>
    <mergeCell ref="Q416:Q417"/>
    <mergeCell ref="AH454:AH462"/>
    <mergeCell ref="A385:A390"/>
    <mergeCell ref="A391:A393"/>
    <mergeCell ref="A394:A395"/>
    <mergeCell ref="A396:A399"/>
    <mergeCell ref="A401:A403"/>
    <mergeCell ref="A404:A407"/>
    <mergeCell ref="A408:A409"/>
    <mergeCell ref="Q443:Q446"/>
    <mergeCell ref="AF443:AF446"/>
    <mergeCell ref="AH443:AH446"/>
    <mergeCell ref="Q447:Q453"/>
    <mergeCell ref="AF447:AF453"/>
    <mergeCell ref="AH447:AH453"/>
    <mergeCell ref="Q422:Q431"/>
    <mergeCell ref="AF422:AF431"/>
    <mergeCell ref="AH423:AH431"/>
    <mergeCell ref="AF432:AF442"/>
    <mergeCell ref="AH432:AH442"/>
    <mergeCell ref="Q410:Q415"/>
    <mergeCell ref="AF410:AF415"/>
    <mergeCell ref="AH410:AH415"/>
    <mergeCell ref="A454:A462"/>
    <mergeCell ref="A410:A415"/>
    <mergeCell ref="A416:A421"/>
    <mergeCell ref="A422:A431"/>
    <mergeCell ref="A443:A446"/>
    <mergeCell ref="A447:A453"/>
    <mergeCell ref="Q454:Q462"/>
    <mergeCell ref="AF454:AF462"/>
    <mergeCell ref="A432:A436"/>
    <mergeCell ref="Q432:Q436"/>
    <mergeCell ref="Q21:Q27"/>
    <mergeCell ref="Q180:Q183"/>
    <mergeCell ref="AF180:AF183"/>
    <mergeCell ref="Q192:Q193"/>
    <mergeCell ref="Q194:Q196"/>
    <mergeCell ref="AF192:AF193"/>
    <mergeCell ref="AF194:AF196"/>
    <mergeCell ref="Q334:Q342"/>
    <mergeCell ref="AF334:AF342"/>
    <mergeCell ref="A309:A314"/>
    <mergeCell ref="A315:A325"/>
    <mergeCell ref="A326:A332"/>
    <mergeCell ref="A334:A342"/>
    <mergeCell ref="A343:A352"/>
    <mergeCell ref="A353:A361"/>
    <mergeCell ref="A264:A268"/>
  </mergeCells>
  <pageMargins left="0.76" right="0.17" top="0.93" bottom="0.81" header="0.91" footer="0.66"/>
  <pageSetup paperSize="8"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390"/>
  <sheetViews>
    <sheetView view="pageBreakPreview" topLeftCell="A277" zoomScale="70" zoomScaleNormal="70" zoomScaleSheetLayoutView="70" workbookViewId="0">
      <selection activeCell="M370" sqref="M370"/>
    </sheetView>
  </sheetViews>
  <sheetFormatPr defaultColWidth="9.140625" defaultRowHeight="20.25"/>
  <cols>
    <col min="1" max="1" width="7.28515625" style="98" customWidth="1"/>
    <col min="2" max="2" width="29.85546875" style="139" customWidth="1"/>
    <col min="3" max="3" width="9.85546875" style="103" customWidth="1"/>
    <col min="4" max="4" width="6.5703125" style="103" customWidth="1"/>
    <col min="5" max="5" width="9.7109375" style="104" customWidth="1"/>
    <col min="6" max="6" width="6.42578125" style="105" customWidth="1"/>
    <col min="7" max="7" width="7.42578125" style="105" customWidth="1"/>
    <col min="8" max="8" width="9.85546875" style="140" customWidth="1"/>
    <col min="9" max="9" width="7.7109375" style="105" customWidth="1"/>
    <col min="10" max="10" width="13.28515625" style="106" customWidth="1"/>
    <col min="11" max="11" width="12.42578125" style="107" customWidth="1"/>
    <col min="12" max="12" width="13.42578125" style="141" customWidth="1"/>
    <col min="13" max="13" width="12.7109375" style="141" customWidth="1"/>
    <col min="14" max="14" width="11" style="141" customWidth="1"/>
    <col min="15" max="16" width="12" style="141" customWidth="1"/>
    <col min="17" max="17" width="12.85546875" style="141" customWidth="1"/>
    <col min="18" max="18" width="12.85546875" style="142" customWidth="1"/>
    <col min="19" max="19" width="10.5703125" style="142" customWidth="1"/>
    <col min="20" max="20" width="11" style="260" customWidth="1"/>
    <col min="21" max="21" width="14.140625" style="241" customWidth="1"/>
    <col min="22" max="22" width="26.140625" style="1" customWidth="1"/>
    <col min="23" max="23" width="13.42578125" style="1" bestFit="1" customWidth="1"/>
    <col min="24" max="24" width="27.7109375" style="1" customWidth="1"/>
    <col min="25" max="25" width="17.85546875" style="1" customWidth="1"/>
    <col min="26" max="16384" width="9.140625" style="1"/>
  </cols>
  <sheetData>
    <row r="1" spans="1:23" ht="27" customHeight="1">
      <c r="A1" s="362" t="s">
        <v>522</v>
      </c>
      <c r="B1" s="362"/>
      <c r="C1" s="362"/>
      <c r="D1" s="362"/>
      <c r="E1" s="362"/>
      <c r="F1" s="362"/>
      <c r="G1" s="362"/>
      <c r="H1" s="362"/>
      <c r="I1" s="362"/>
      <c r="J1" s="362"/>
      <c r="K1" s="362"/>
      <c r="L1" s="362"/>
      <c r="M1" s="362"/>
      <c r="N1" s="362"/>
      <c r="O1" s="362"/>
      <c r="P1" s="362"/>
      <c r="Q1" s="362"/>
      <c r="R1" s="362"/>
      <c r="S1" s="362"/>
      <c r="T1" s="362"/>
    </row>
    <row r="2" spans="1:23" s="2" customFormat="1" ht="21.75" customHeight="1">
      <c r="A2" s="362"/>
      <c r="B2" s="362"/>
      <c r="C2" s="362"/>
      <c r="D2" s="362"/>
      <c r="E2" s="362"/>
      <c r="F2" s="362"/>
      <c r="G2" s="362"/>
      <c r="H2" s="362"/>
      <c r="I2" s="362"/>
      <c r="J2" s="362"/>
      <c r="K2" s="362"/>
      <c r="L2" s="362"/>
      <c r="M2" s="362"/>
      <c r="N2" s="362"/>
      <c r="O2" s="362"/>
      <c r="P2" s="362"/>
      <c r="Q2" s="362"/>
      <c r="R2" s="362"/>
      <c r="S2" s="362"/>
      <c r="T2" s="362"/>
      <c r="U2" s="242"/>
    </row>
    <row r="3" spans="1:23" s="3" customFormat="1" ht="20.25" customHeight="1">
      <c r="A3" s="98"/>
      <c r="B3" s="363" t="s">
        <v>0</v>
      </c>
      <c r="C3" s="363"/>
      <c r="D3" s="363"/>
      <c r="E3" s="363"/>
      <c r="F3" s="363"/>
      <c r="G3" s="363"/>
      <c r="H3" s="363"/>
      <c r="I3" s="363"/>
      <c r="J3" s="363"/>
      <c r="K3" s="363"/>
      <c r="L3" s="363"/>
      <c r="M3" s="363"/>
      <c r="N3" s="363"/>
      <c r="O3" s="363"/>
      <c r="P3" s="363"/>
      <c r="Q3" s="363"/>
      <c r="R3" s="363"/>
      <c r="S3" s="363"/>
      <c r="T3" s="363"/>
      <c r="U3" s="243"/>
    </row>
    <row r="4" spans="1:23" s="2" customFormat="1" ht="37.5" customHeight="1">
      <c r="A4" s="362" t="s">
        <v>1</v>
      </c>
      <c r="B4" s="362"/>
      <c r="C4" s="362"/>
      <c r="D4" s="362"/>
      <c r="E4" s="362"/>
      <c r="F4" s="362"/>
      <c r="G4" s="362"/>
      <c r="H4" s="362"/>
      <c r="I4" s="362"/>
      <c r="J4" s="362"/>
      <c r="K4" s="362"/>
      <c r="L4" s="362"/>
      <c r="M4" s="362"/>
      <c r="N4" s="362"/>
      <c r="O4" s="362"/>
      <c r="P4" s="362"/>
      <c r="Q4" s="362"/>
      <c r="R4" s="362"/>
      <c r="S4" s="362"/>
      <c r="T4" s="362"/>
      <c r="U4" s="242"/>
    </row>
    <row r="5" spans="1:23" s="2" customFormat="1" ht="33.75" customHeight="1">
      <c r="A5" s="379" t="s">
        <v>518</v>
      </c>
      <c r="B5" s="379"/>
      <c r="C5" s="379"/>
      <c r="D5" s="379"/>
      <c r="E5" s="379"/>
      <c r="F5" s="379"/>
      <c r="G5" s="379"/>
      <c r="H5" s="379"/>
      <c r="I5" s="379"/>
      <c r="J5" s="379"/>
      <c r="K5" s="379"/>
      <c r="L5" s="379"/>
      <c r="M5" s="379"/>
      <c r="N5" s="379"/>
      <c r="O5" s="379"/>
      <c r="P5" s="379"/>
      <c r="Q5" s="379"/>
      <c r="R5" s="379"/>
      <c r="S5" s="379"/>
      <c r="T5" s="379"/>
      <c r="U5" s="242"/>
    </row>
    <row r="6" spans="1:23" s="4" customFormat="1" ht="15" customHeight="1">
      <c r="A6" s="364" t="s">
        <v>2</v>
      </c>
      <c r="B6" s="367" t="s">
        <v>3</v>
      </c>
      <c r="C6" s="370" t="s">
        <v>4</v>
      </c>
      <c r="D6" s="371"/>
      <c r="E6" s="367"/>
      <c r="F6" s="370" t="s">
        <v>5</v>
      </c>
      <c r="G6" s="371"/>
      <c r="H6" s="371"/>
      <c r="I6" s="371"/>
      <c r="J6" s="367"/>
      <c r="K6" s="370" t="s">
        <v>6</v>
      </c>
      <c r="L6" s="371"/>
      <c r="M6" s="371"/>
      <c r="N6" s="367"/>
      <c r="O6" s="392" t="s">
        <v>7</v>
      </c>
      <c r="P6" s="392"/>
      <c r="Q6" s="376" t="s">
        <v>8</v>
      </c>
      <c r="R6" s="389" t="s">
        <v>9</v>
      </c>
      <c r="S6" s="393" t="s">
        <v>552</v>
      </c>
      <c r="T6" s="380" t="s">
        <v>16</v>
      </c>
      <c r="U6" s="244"/>
    </row>
    <row r="7" spans="1:23" s="6" customFormat="1" ht="26.25" customHeight="1">
      <c r="A7" s="365"/>
      <c r="B7" s="368"/>
      <c r="C7" s="372"/>
      <c r="D7" s="373"/>
      <c r="E7" s="369"/>
      <c r="F7" s="372"/>
      <c r="G7" s="373"/>
      <c r="H7" s="373"/>
      <c r="I7" s="373"/>
      <c r="J7" s="369"/>
      <c r="K7" s="372"/>
      <c r="L7" s="373"/>
      <c r="M7" s="373"/>
      <c r="N7" s="369"/>
      <c r="O7" s="392"/>
      <c r="P7" s="392"/>
      <c r="Q7" s="377"/>
      <c r="R7" s="390"/>
      <c r="S7" s="394"/>
      <c r="T7" s="381"/>
      <c r="U7" s="245"/>
    </row>
    <row r="8" spans="1:23" s="6" customFormat="1" ht="106.5" customHeight="1">
      <c r="A8" s="366"/>
      <c r="B8" s="369"/>
      <c r="C8" s="172" t="s">
        <v>17</v>
      </c>
      <c r="D8" s="172" t="s">
        <v>18</v>
      </c>
      <c r="E8" s="173" t="s">
        <v>19</v>
      </c>
      <c r="F8" s="8" t="s">
        <v>20</v>
      </c>
      <c r="G8" s="8" t="s">
        <v>21</v>
      </c>
      <c r="H8" s="9" t="s">
        <v>519</v>
      </c>
      <c r="I8" s="8" t="s">
        <v>22</v>
      </c>
      <c r="J8" s="8" t="s">
        <v>23</v>
      </c>
      <c r="K8" s="10" t="s">
        <v>24</v>
      </c>
      <c r="L8" s="11" t="s">
        <v>25</v>
      </c>
      <c r="M8" s="11" t="s">
        <v>26</v>
      </c>
      <c r="N8" s="11" t="s">
        <v>27</v>
      </c>
      <c r="O8" s="12" t="s">
        <v>28</v>
      </c>
      <c r="P8" s="261" t="s">
        <v>26</v>
      </c>
      <c r="Q8" s="378"/>
      <c r="R8" s="391"/>
      <c r="S8" s="395"/>
      <c r="T8" s="382"/>
      <c r="U8" s="245"/>
    </row>
    <row r="9" spans="1:23" s="26" customFormat="1" ht="34.5" customHeight="1">
      <c r="A9" s="22">
        <v>1</v>
      </c>
      <c r="B9" s="23">
        <v>2</v>
      </c>
      <c r="C9" s="22">
        <v>3</v>
      </c>
      <c r="D9" s="23">
        <v>4</v>
      </c>
      <c r="E9" s="22">
        <v>5</v>
      </c>
      <c r="F9" s="23">
        <v>6</v>
      </c>
      <c r="G9" s="22">
        <v>7</v>
      </c>
      <c r="H9" s="23">
        <v>8</v>
      </c>
      <c r="I9" s="22">
        <v>9</v>
      </c>
      <c r="J9" s="23">
        <v>10</v>
      </c>
      <c r="K9" s="22">
        <v>11</v>
      </c>
      <c r="L9" s="23">
        <v>12</v>
      </c>
      <c r="M9" s="22">
        <v>13</v>
      </c>
      <c r="N9" s="23">
        <v>14</v>
      </c>
      <c r="O9" s="24">
        <v>15</v>
      </c>
      <c r="P9" s="192">
        <v>16</v>
      </c>
      <c r="Q9" s="25" t="s">
        <v>554</v>
      </c>
      <c r="R9" s="24" t="s">
        <v>555</v>
      </c>
      <c r="S9" s="192">
        <v>19</v>
      </c>
      <c r="T9" s="25">
        <v>20</v>
      </c>
      <c r="U9" s="246"/>
    </row>
    <row r="10" spans="1:23" s="31" customFormat="1" ht="34.5" customHeight="1">
      <c r="A10" s="383" t="s">
        <v>43</v>
      </c>
      <c r="B10" s="384"/>
      <c r="C10" s="27"/>
      <c r="D10" s="27"/>
      <c r="E10" s="28"/>
      <c r="F10" s="27"/>
      <c r="G10" s="27"/>
      <c r="H10" s="29"/>
      <c r="I10" s="30"/>
      <c r="J10" s="30"/>
      <c r="K10" s="30">
        <f>SUM(K11:K364)</f>
        <v>55764.899999999994</v>
      </c>
      <c r="L10" s="30" t="e">
        <f t="shared" ref="L10:R10" si="0">SUM(L11:L364)</f>
        <v>#VALUE!</v>
      </c>
      <c r="M10" s="30">
        <f t="shared" si="0"/>
        <v>3959.1999999999994</v>
      </c>
      <c r="N10" s="30">
        <f t="shared" si="0"/>
        <v>753.5</v>
      </c>
      <c r="O10" s="30">
        <f t="shared" si="0"/>
        <v>297.69999999999987</v>
      </c>
      <c r="P10" s="30">
        <f t="shared" si="0"/>
        <v>16</v>
      </c>
      <c r="Q10" s="30" t="e">
        <f t="shared" si="0"/>
        <v>#VALUE!</v>
      </c>
      <c r="R10" s="30" t="e">
        <f t="shared" si="0"/>
        <v>#VALUE!</v>
      </c>
      <c r="S10" s="30"/>
      <c r="T10" s="30"/>
      <c r="U10" s="246"/>
      <c r="V10" s="26"/>
      <c r="W10" s="26"/>
    </row>
    <row r="11" spans="1:23" s="47" customFormat="1" ht="49.5" customHeight="1">
      <c r="A11" s="307">
        <v>1</v>
      </c>
      <c r="B11" s="33" t="s">
        <v>44</v>
      </c>
      <c r="C11" s="72">
        <v>83</v>
      </c>
      <c r="D11" s="72">
        <v>4</v>
      </c>
      <c r="E11" s="73">
        <v>480</v>
      </c>
      <c r="F11" s="34">
        <v>304</v>
      </c>
      <c r="G11" s="34">
        <v>28</v>
      </c>
      <c r="H11" s="35">
        <v>477.4</v>
      </c>
      <c r="I11" s="34" t="s">
        <v>45</v>
      </c>
      <c r="J11" s="36" t="s">
        <v>46</v>
      </c>
      <c r="K11" s="37">
        <v>477.4</v>
      </c>
      <c r="L11" s="38"/>
      <c r="M11" s="38"/>
      <c r="N11" s="38"/>
      <c r="O11" s="38"/>
      <c r="P11" s="38"/>
      <c r="Q11" s="39">
        <f>K11+L11+N11+O11+M11</f>
        <v>477.4</v>
      </c>
      <c r="R11" s="310">
        <f>SUM(Q11:Q17)</f>
        <v>2354.6999999999998</v>
      </c>
      <c r="S11" s="66" t="str">
        <f>I11</f>
        <v>LUC</v>
      </c>
      <c r="T11" s="45"/>
      <c r="U11" s="247"/>
      <c r="V11" s="46"/>
      <c r="W11" s="46"/>
    </row>
    <row r="12" spans="1:23" s="47" customFormat="1" ht="49.5" customHeight="1">
      <c r="A12" s="308"/>
      <c r="B12" s="33" t="s">
        <v>44</v>
      </c>
      <c r="C12" s="77"/>
      <c r="D12" s="77"/>
      <c r="E12" s="78"/>
      <c r="F12" s="48">
        <v>303</v>
      </c>
      <c r="G12" s="48">
        <v>28</v>
      </c>
      <c r="H12" s="49">
        <v>521.6</v>
      </c>
      <c r="I12" s="34" t="s">
        <v>49</v>
      </c>
      <c r="J12" s="36" t="s">
        <v>50</v>
      </c>
      <c r="K12" s="37">
        <f>480-477.4</f>
        <v>2.6000000000000227</v>
      </c>
      <c r="L12" s="38">
        <f>17.8-2.6</f>
        <v>15.200000000000001</v>
      </c>
      <c r="M12" s="38"/>
      <c r="N12" s="38"/>
      <c r="O12" s="38"/>
      <c r="P12" s="38"/>
      <c r="Q12" s="39">
        <f t="shared" ref="Q12:Q25" si="1">K12+L12+N12+O12+M12</f>
        <v>17.800000000000026</v>
      </c>
      <c r="R12" s="311"/>
      <c r="S12" s="66" t="str">
        <f>I12</f>
        <v>LUK</v>
      </c>
      <c r="T12" s="45"/>
      <c r="U12" s="247"/>
      <c r="V12" s="46"/>
      <c r="W12" s="46"/>
    </row>
    <row r="13" spans="1:23" s="47" customFormat="1" ht="49.5" customHeight="1">
      <c r="A13" s="308"/>
      <c r="B13" s="33" t="s">
        <v>44</v>
      </c>
      <c r="C13" s="36">
        <v>195</v>
      </c>
      <c r="D13" s="36">
        <v>5</v>
      </c>
      <c r="E13" s="239">
        <v>204</v>
      </c>
      <c r="F13" s="52">
        <v>209</v>
      </c>
      <c r="G13" s="52">
        <v>28</v>
      </c>
      <c r="H13" s="53">
        <v>272.89999999999998</v>
      </c>
      <c r="I13" s="53" t="s">
        <v>49</v>
      </c>
      <c r="J13" s="53" t="s">
        <v>50</v>
      </c>
      <c r="K13" s="37">
        <v>204</v>
      </c>
      <c r="L13" s="38">
        <f>272.9-204</f>
        <v>68.899999999999977</v>
      </c>
      <c r="M13" s="38"/>
      <c r="N13" s="38"/>
      <c r="O13" s="38"/>
      <c r="P13" s="38"/>
      <c r="Q13" s="39">
        <f t="shared" si="1"/>
        <v>272.89999999999998</v>
      </c>
      <c r="R13" s="311"/>
      <c r="S13" s="66" t="str">
        <f>I13</f>
        <v>LUK</v>
      </c>
      <c r="T13" s="45"/>
      <c r="U13" s="247"/>
      <c r="V13" s="46"/>
      <c r="W13" s="46"/>
    </row>
    <row r="14" spans="1:23" s="47" customFormat="1" ht="49.5" customHeight="1">
      <c r="A14" s="308"/>
      <c r="B14" s="33" t="s">
        <v>44</v>
      </c>
      <c r="C14" s="36">
        <v>9</v>
      </c>
      <c r="D14" s="36">
        <v>4</v>
      </c>
      <c r="E14" s="239">
        <v>672</v>
      </c>
      <c r="F14" s="34">
        <v>245</v>
      </c>
      <c r="G14" s="34">
        <v>21</v>
      </c>
      <c r="H14" s="35">
        <v>754</v>
      </c>
      <c r="I14" s="34" t="s">
        <v>45</v>
      </c>
      <c r="J14" s="36" t="s">
        <v>54</v>
      </c>
      <c r="K14" s="37">
        <v>672</v>
      </c>
      <c r="L14" s="38">
        <f>H14-E14</f>
        <v>82</v>
      </c>
      <c r="M14" s="38"/>
      <c r="N14" s="38"/>
      <c r="O14" s="38"/>
      <c r="P14" s="38"/>
      <c r="Q14" s="39">
        <f t="shared" si="1"/>
        <v>754</v>
      </c>
      <c r="R14" s="311"/>
      <c r="S14" s="66" t="str">
        <f>I14</f>
        <v>LUC</v>
      </c>
      <c r="T14" s="45"/>
      <c r="U14" s="247"/>
      <c r="V14" s="46"/>
      <c r="W14" s="46"/>
    </row>
    <row r="15" spans="1:23" s="47" customFormat="1" ht="49.5" customHeight="1">
      <c r="A15" s="308"/>
      <c r="B15" s="33" t="s">
        <v>44</v>
      </c>
      <c r="C15" s="36"/>
      <c r="D15" s="36"/>
      <c r="E15" s="239"/>
      <c r="F15" s="34">
        <v>201</v>
      </c>
      <c r="G15" s="34">
        <v>21</v>
      </c>
      <c r="H15" s="35">
        <v>359</v>
      </c>
      <c r="I15" s="34" t="s">
        <v>45</v>
      </c>
      <c r="J15" s="36" t="s">
        <v>54</v>
      </c>
      <c r="K15" s="37"/>
      <c r="L15" s="38"/>
      <c r="M15" s="38">
        <v>359</v>
      </c>
      <c r="N15" s="38"/>
      <c r="O15" s="38"/>
      <c r="P15" s="38"/>
      <c r="Q15" s="39">
        <f t="shared" si="1"/>
        <v>359</v>
      </c>
      <c r="R15" s="311"/>
      <c r="S15" s="66" t="s">
        <v>553</v>
      </c>
      <c r="T15" s="45"/>
      <c r="U15" s="247"/>
      <c r="V15" s="46"/>
      <c r="W15" s="46"/>
    </row>
    <row r="16" spans="1:23" s="47" customFormat="1" ht="49.5" customHeight="1">
      <c r="A16" s="308"/>
      <c r="B16" s="33" t="s">
        <v>44</v>
      </c>
      <c r="C16" s="36">
        <v>4</v>
      </c>
      <c r="D16" s="36">
        <v>78</v>
      </c>
      <c r="E16" s="239">
        <v>96</v>
      </c>
      <c r="F16" s="34">
        <v>62</v>
      </c>
      <c r="G16" s="34">
        <v>28</v>
      </c>
      <c r="H16" s="35">
        <v>110.1</v>
      </c>
      <c r="I16" s="34" t="s">
        <v>55</v>
      </c>
      <c r="J16" s="36" t="s">
        <v>56</v>
      </c>
      <c r="K16" s="37">
        <v>96</v>
      </c>
      <c r="L16" s="38">
        <f>H16-E16</f>
        <v>14.099999999999994</v>
      </c>
      <c r="M16" s="38"/>
      <c r="N16" s="38"/>
      <c r="O16" s="38"/>
      <c r="P16" s="38"/>
      <c r="Q16" s="39">
        <f t="shared" si="1"/>
        <v>110.1</v>
      </c>
      <c r="R16" s="311"/>
      <c r="S16" s="66" t="str">
        <f t="shared" ref="S16:S32" si="2">I16</f>
        <v>BHK</v>
      </c>
      <c r="T16" s="45"/>
      <c r="U16" s="247"/>
      <c r="V16" s="46"/>
      <c r="W16" s="46"/>
    </row>
    <row r="17" spans="1:23" s="47" customFormat="1" ht="49.5" customHeight="1">
      <c r="A17" s="309"/>
      <c r="B17" s="33" t="s">
        <v>44</v>
      </c>
      <c r="C17" s="36">
        <v>103</v>
      </c>
      <c r="D17" s="36">
        <v>5</v>
      </c>
      <c r="E17" s="239">
        <v>214</v>
      </c>
      <c r="F17" s="34">
        <v>297</v>
      </c>
      <c r="G17" s="34">
        <v>28</v>
      </c>
      <c r="H17" s="35">
        <v>363.5</v>
      </c>
      <c r="I17" s="34" t="s">
        <v>49</v>
      </c>
      <c r="J17" s="36" t="s">
        <v>57</v>
      </c>
      <c r="K17" s="37">
        <v>214</v>
      </c>
      <c r="L17" s="38">
        <f>H17-E17</f>
        <v>149.5</v>
      </c>
      <c r="M17" s="38"/>
      <c r="N17" s="38"/>
      <c r="O17" s="38"/>
      <c r="P17" s="38"/>
      <c r="Q17" s="39">
        <f t="shared" si="1"/>
        <v>363.5</v>
      </c>
      <c r="R17" s="312"/>
      <c r="S17" s="66" t="str">
        <f t="shared" si="2"/>
        <v>LUK</v>
      </c>
      <c r="T17" s="45"/>
      <c r="U17" s="247"/>
      <c r="V17" s="46"/>
      <c r="W17" s="46"/>
    </row>
    <row r="18" spans="1:23" s="47" customFormat="1" ht="49.5" customHeight="1">
      <c r="A18" s="32">
        <v>2</v>
      </c>
      <c r="B18" s="33" t="s">
        <v>59</v>
      </c>
      <c r="C18" s="36">
        <v>90</v>
      </c>
      <c r="D18" s="36">
        <v>4</v>
      </c>
      <c r="E18" s="239">
        <v>175</v>
      </c>
      <c r="F18" s="34">
        <v>96</v>
      </c>
      <c r="G18" s="34">
        <v>28</v>
      </c>
      <c r="H18" s="35">
        <v>375.6</v>
      </c>
      <c r="I18" s="34" t="s">
        <v>55</v>
      </c>
      <c r="J18" s="36" t="s">
        <v>60</v>
      </c>
      <c r="K18" s="37">
        <v>175</v>
      </c>
      <c r="L18" s="38">
        <v>24.8</v>
      </c>
      <c r="M18" s="38"/>
      <c r="N18" s="38"/>
      <c r="O18" s="38"/>
      <c r="P18" s="38"/>
      <c r="Q18" s="39">
        <f t="shared" si="1"/>
        <v>199.8</v>
      </c>
      <c r="R18" s="59">
        <f>Q18</f>
        <v>199.8</v>
      </c>
      <c r="S18" s="66" t="str">
        <f t="shared" si="2"/>
        <v>BHK</v>
      </c>
      <c r="T18" s="45"/>
      <c r="U18" s="247"/>
      <c r="V18" s="46"/>
      <c r="W18" s="46"/>
    </row>
    <row r="19" spans="1:23" s="47" customFormat="1" ht="65.25" customHeight="1">
      <c r="A19" s="32">
        <f t="shared" ref="A19" si="3">IF(B19=B18,A18,A18+1)</f>
        <v>3</v>
      </c>
      <c r="B19" s="33" t="s">
        <v>61</v>
      </c>
      <c r="C19" s="36">
        <v>90</v>
      </c>
      <c r="D19" s="36">
        <v>4</v>
      </c>
      <c r="E19" s="239">
        <v>154</v>
      </c>
      <c r="F19" s="34">
        <v>96</v>
      </c>
      <c r="G19" s="34">
        <v>28</v>
      </c>
      <c r="H19" s="35">
        <v>375.6</v>
      </c>
      <c r="I19" s="34" t="s">
        <v>55</v>
      </c>
      <c r="J19" s="36" t="s">
        <v>60</v>
      </c>
      <c r="K19" s="37">
        <v>154</v>
      </c>
      <c r="L19" s="38">
        <v>21.8</v>
      </c>
      <c r="M19" s="38"/>
      <c r="N19" s="38"/>
      <c r="O19" s="38"/>
      <c r="P19" s="38"/>
      <c r="Q19" s="39">
        <f t="shared" si="1"/>
        <v>175.8</v>
      </c>
      <c r="R19" s="85">
        <f>Q19</f>
        <v>175.8</v>
      </c>
      <c r="S19" s="66" t="str">
        <f t="shared" si="2"/>
        <v>BHK</v>
      </c>
      <c r="T19" s="45"/>
      <c r="U19" s="247"/>
      <c r="V19" s="46"/>
      <c r="W19" s="46"/>
    </row>
    <row r="20" spans="1:23" s="47" customFormat="1" ht="49.5" customHeight="1">
      <c r="A20" s="307">
        <v>4</v>
      </c>
      <c r="B20" s="33" t="s">
        <v>62</v>
      </c>
      <c r="C20" s="36">
        <v>79</v>
      </c>
      <c r="D20" s="36">
        <v>4</v>
      </c>
      <c r="E20" s="239">
        <v>360</v>
      </c>
      <c r="F20" s="34">
        <v>33</v>
      </c>
      <c r="G20" s="34">
        <v>28</v>
      </c>
      <c r="H20" s="35">
        <v>405.8</v>
      </c>
      <c r="I20" s="34" t="s">
        <v>45</v>
      </c>
      <c r="J20" s="36" t="s">
        <v>63</v>
      </c>
      <c r="K20" s="37">
        <v>360</v>
      </c>
      <c r="L20" s="38">
        <f>405.8-360</f>
        <v>45.800000000000011</v>
      </c>
      <c r="M20" s="38"/>
      <c r="N20" s="38"/>
      <c r="O20" s="38"/>
      <c r="P20" s="38"/>
      <c r="Q20" s="39">
        <f t="shared" si="1"/>
        <v>405.8</v>
      </c>
      <c r="R20" s="310">
        <f>SUM(Q20:Q24)</f>
        <v>898</v>
      </c>
      <c r="S20" s="66" t="str">
        <f t="shared" si="2"/>
        <v>LUC</v>
      </c>
      <c r="T20" s="45"/>
      <c r="U20" s="247"/>
      <c r="V20" s="46"/>
      <c r="W20" s="46"/>
    </row>
    <row r="21" spans="1:23" s="47" customFormat="1" ht="49.5" customHeight="1">
      <c r="A21" s="308"/>
      <c r="B21" s="33" t="s">
        <v>62</v>
      </c>
      <c r="C21" s="36">
        <v>117</v>
      </c>
      <c r="D21" s="36">
        <v>4</v>
      </c>
      <c r="E21" s="239">
        <v>48</v>
      </c>
      <c r="F21" s="34">
        <v>472</v>
      </c>
      <c r="G21" s="34">
        <v>28</v>
      </c>
      <c r="H21" s="35">
        <v>57.3</v>
      </c>
      <c r="I21" s="34" t="s">
        <v>49</v>
      </c>
      <c r="J21" s="36" t="s">
        <v>57</v>
      </c>
      <c r="K21" s="37">
        <v>48</v>
      </c>
      <c r="L21" s="38">
        <f>57.3-48</f>
        <v>9.2999999999999972</v>
      </c>
      <c r="M21" s="38"/>
      <c r="N21" s="38"/>
      <c r="O21" s="38"/>
      <c r="P21" s="38"/>
      <c r="Q21" s="39">
        <f t="shared" si="1"/>
        <v>57.3</v>
      </c>
      <c r="R21" s="311"/>
      <c r="S21" s="66" t="str">
        <f t="shared" si="2"/>
        <v>LUK</v>
      </c>
      <c r="T21" s="56"/>
      <c r="U21" s="247"/>
      <c r="V21" s="46"/>
      <c r="W21" s="46"/>
    </row>
    <row r="22" spans="1:23" s="47" customFormat="1" ht="49.5" customHeight="1">
      <c r="A22" s="308"/>
      <c r="B22" s="33" t="s">
        <v>62</v>
      </c>
      <c r="C22" s="36">
        <v>181</v>
      </c>
      <c r="D22" s="36">
        <v>5</v>
      </c>
      <c r="E22" s="239">
        <v>96</v>
      </c>
      <c r="F22" s="34">
        <v>387</v>
      </c>
      <c r="G22" s="34">
        <v>28</v>
      </c>
      <c r="H22" s="35">
        <v>156.4</v>
      </c>
      <c r="I22" s="34" t="s">
        <v>49</v>
      </c>
      <c r="J22" s="36" t="s">
        <v>57</v>
      </c>
      <c r="K22" s="37">
        <v>96</v>
      </c>
      <c r="L22" s="38">
        <f>156.4-96</f>
        <v>60.400000000000006</v>
      </c>
      <c r="M22" s="38"/>
      <c r="N22" s="38"/>
      <c r="O22" s="38"/>
      <c r="P22" s="38"/>
      <c r="Q22" s="39">
        <f t="shared" si="1"/>
        <v>156.4</v>
      </c>
      <c r="R22" s="311"/>
      <c r="S22" s="66" t="str">
        <f t="shared" si="2"/>
        <v>LUK</v>
      </c>
      <c r="T22" s="45"/>
      <c r="U22" s="247"/>
      <c r="V22" s="46"/>
      <c r="W22" s="46"/>
    </row>
    <row r="23" spans="1:23" s="47" customFormat="1" ht="49.5" customHeight="1">
      <c r="A23" s="308"/>
      <c r="B23" s="33" t="s">
        <v>62</v>
      </c>
      <c r="C23" s="36">
        <v>128</v>
      </c>
      <c r="D23" s="36">
        <v>5</v>
      </c>
      <c r="E23" s="239">
        <v>96</v>
      </c>
      <c r="F23" s="34">
        <v>291</v>
      </c>
      <c r="G23" s="34">
        <v>28</v>
      </c>
      <c r="H23" s="35">
        <v>111.4</v>
      </c>
      <c r="I23" s="34" t="s">
        <v>49</v>
      </c>
      <c r="J23" s="36" t="s">
        <v>50</v>
      </c>
      <c r="K23" s="37">
        <v>96</v>
      </c>
      <c r="L23" s="38">
        <f>111.4-96</f>
        <v>15.400000000000006</v>
      </c>
      <c r="M23" s="38"/>
      <c r="N23" s="38"/>
      <c r="O23" s="38"/>
      <c r="P23" s="38"/>
      <c r="Q23" s="39">
        <f t="shared" si="1"/>
        <v>111.4</v>
      </c>
      <c r="R23" s="311"/>
      <c r="S23" s="66" t="str">
        <f t="shared" si="2"/>
        <v>LUK</v>
      </c>
      <c r="T23" s="45"/>
      <c r="U23" s="247"/>
      <c r="V23" s="46"/>
      <c r="W23" s="46"/>
    </row>
    <row r="24" spans="1:23" s="47" customFormat="1" ht="49.5" customHeight="1">
      <c r="A24" s="308"/>
      <c r="B24" s="33" t="s">
        <v>62</v>
      </c>
      <c r="C24" s="36">
        <v>48</v>
      </c>
      <c r="D24" s="36">
        <v>4</v>
      </c>
      <c r="E24" s="239">
        <v>144</v>
      </c>
      <c r="F24" s="34">
        <v>468</v>
      </c>
      <c r="G24" s="34">
        <v>28</v>
      </c>
      <c r="H24" s="35">
        <v>167.1</v>
      </c>
      <c r="I24" s="34" t="s">
        <v>49</v>
      </c>
      <c r="J24" s="36" t="s">
        <v>57</v>
      </c>
      <c r="K24" s="37">
        <f>144+23</f>
        <v>167</v>
      </c>
      <c r="L24" s="38">
        <v>0.1</v>
      </c>
      <c r="M24" s="38"/>
      <c r="N24" s="38"/>
      <c r="O24" s="38"/>
      <c r="P24" s="38"/>
      <c r="Q24" s="39">
        <f t="shared" ref="Q24" si="4">K24+L24+N24+O24+M24</f>
        <v>167.1</v>
      </c>
      <c r="R24" s="312"/>
      <c r="S24" s="66" t="str">
        <f t="shared" si="2"/>
        <v>LUK</v>
      </c>
      <c r="T24" s="45"/>
      <c r="U24" s="247"/>
      <c r="V24" s="46"/>
      <c r="W24" s="46"/>
    </row>
    <row r="25" spans="1:23" s="47" customFormat="1" ht="49.5" customHeight="1">
      <c r="A25" s="307">
        <v>5</v>
      </c>
      <c r="B25" s="33" t="s">
        <v>67</v>
      </c>
      <c r="C25" s="72">
        <v>179</v>
      </c>
      <c r="D25" s="72">
        <v>5</v>
      </c>
      <c r="E25" s="73">
        <v>120</v>
      </c>
      <c r="F25" s="34">
        <v>360</v>
      </c>
      <c r="G25" s="34">
        <v>28</v>
      </c>
      <c r="H25" s="35">
        <v>46.9</v>
      </c>
      <c r="I25" s="34" t="s">
        <v>45</v>
      </c>
      <c r="J25" s="36" t="s">
        <v>57</v>
      </c>
      <c r="K25" s="37">
        <v>46.9</v>
      </c>
      <c r="L25" s="38"/>
      <c r="M25" s="38"/>
      <c r="N25" s="38"/>
      <c r="O25" s="38"/>
      <c r="P25" s="38"/>
      <c r="Q25" s="39">
        <f t="shared" si="1"/>
        <v>46.9</v>
      </c>
      <c r="R25" s="310">
        <f>SUM(Q25:Q28)</f>
        <v>520.20000000000005</v>
      </c>
      <c r="S25" s="66" t="str">
        <f t="shared" si="2"/>
        <v>LUC</v>
      </c>
      <c r="T25" s="45"/>
      <c r="U25" s="247"/>
      <c r="V25" s="46"/>
      <c r="W25" s="46"/>
    </row>
    <row r="26" spans="1:23" s="47" customFormat="1" ht="49.5" customHeight="1">
      <c r="A26" s="308"/>
      <c r="B26" s="33" t="s">
        <v>67</v>
      </c>
      <c r="C26" s="36">
        <v>179</v>
      </c>
      <c r="D26" s="36">
        <v>5</v>
      </c>
      <c r="E26" s="239">
        <v>120</v>
      </c>
      <c r="F26" s="34">
        <v>361</v>
      </c>
      <c r="G26" s="34">
        <v>28</v>
      </c>
      <c r="H26" s="35">
        <v>110.1</v>
      </c>
      <c r="I26" s="34" t="s">
        <v>45</v>
      </c>
      <c r="J26" s="36" t="s">
        <v>57</v>
      </c>
      <c r="K26" s="37">
        <f>120-46.9</f>
        <v>73.099999999999994</v>
      </c>
      <c r="L26" s="38">
        <f>110.1-73.1</f>
        <v>37</v>
      </c>
      <c r="M26" s="38"/>
      <c r="N26" s="38"/>
      <c r="O26" s="38"/>
      <c r="P26" s="38"/>
      <c r="Q26" s="39">
        <f>K26+L26+N26+O26+M26</f>
        <v>110.1</v>
      </c>
      <c r="R26" s="311"/>
      <c r="S26" s="66" t="str">
        <f t="shared" si="2"/>
        <v>LUC</v>
      </c>
      <c r="T26" s="45"/>
      <c r="U26" s="247"/>
      <c r="V26" s="46"/>
      <c r="W26" s="46"/>
    </row>
    <row r="27" spans="1:23" s="47" customFormat="1" ht="49.5" customHeight="1">
      <c r="A27" s="308"/>
      <c r="B27" s="33" t="s">
        <v>67</v>
      </c>
      <c r="C27" s="36">
        <v>7</v>
      </c>
      <c r="D27" s="36">
        <v>4</v>
      </c>
      <c r="E27" s="239">
        <v>240</v>
      </c>
      <c r="F27" s="34">
        <v>270</v>
      </c>
      <c r="G27" s="34">
        <v>28</v>
      </c>
      <c r="H27" s="35">
        <v>250</v>
      </c>
      <c r="I27" s="34" t="s">
        <v>45</v>
      </c>
      <c r="J27" s="36" t="s">
        <v>60</v>
      </c>
      <c r="K27" s="37">
        <v>240</v>
      </c>
      <c r="L27" s="38">
        <v>10</v>
      </c>
      <c r="M27" s="38"/>
      <c r="N27" s="38"/>
      <c r="O27" s="38"/>
      <c r="P27" s="38"/>
      <c r="Q27" s="39">
        <f t="shared" ref="Q27:Q76" si="5">K27+L27+N27+O27+M27</f>
        <v>250</v>
      </c>
      <c r="R27" s="311"/>
      <c r="S27" s="66" t="str">
        <f t="shared" si="2"/>
        <v>LUC</v>
      </c>
      <c r="T27" s="45"/>
      <c r="U27" s="247"/>
      <c r="V27" s="46"/>
      <c r="W27" s="46"/>
    </row>
    <row r="28" spans="1:23" s="47" customFormat="1" ht="49.5" customHeight="1">
      <c r="A28" s="308"/>
      <c r="B28" s="33" t="s">
        <v>67</v>
      </c>
      <c r="C28" s="36">
        <v>81</v>
      </c>
      <c r="D28" s="36">
        <v>4</v>
      </c>
      <c r="E28" s="239">
        <v>72</v>
      </c>
      <c r="F28" s="34">
        <v>95</v>
      </c>
      <c r="G28" s="34">
        <v>28</v>
      </c>
      <c r="H28" s="35">
        <v>113.2</v>
      </c>
      <c r="I28" s="34" t="s">
        <v>55</v>
      </c>
      <c r="J28" s="36" t="s">
        <v>46</v>
      </c>
      <c r="K28" s="37">
        <v>72</v>
      </c>
      <c r="L28" s="38">
        <f>113.2-72</f>
        <v>41.2</v>
      </c>
      <c r="M28" s="38"/>
      <c r="N28" s="38"/>
      <c r="O28" s="38"/>
      <c r="P28" s="38"/>
      <c r="Q28" s="39">
        <f t="shared" si="5"/>
        <v>113.2</v>
      </c>
      <c r="R28" s="311"/>
      <c r="S28" s="66" t="str">
        <f t="shared" si="2"/>
        <v>BHK</v>
      </c>
      <c r="T28" s="45"/>
      <c r="U28" s="247"/>
      <c r="V28" s="46"/>
      <c r="W28" s="46"/>
    </row>
    <row r="29" spans="1:23" s="47" customFormat="1" ht="39" customHeight="1">
      <c r="A29" s="307">
        <v>6</v>
      </c>
      <c r="B29" s="33" t="s">
        <v>73</v>
      </c>
      <c r="C29" s="36">
        <v>117</v>
      </c>
      <c r="D29" s="36">
        <v>4</v>
      </c>
      <c r="E29" s="239">
        <v>312</v>
      </c>
      <c r="F29" s="34">
        <v>386</v>
      </c>
      <c r="G29" s="34">
        <v>28</v>
      </c>
      <c r="H29" s="35">
        <v>320.5</v>
      </c>
      <c r="I29" s="34" t="s">
        <v>49</v>
      </c>
      <c r="J29" s="36" t="s">
        <v>74</v>
      </c>
      <c r="K29" s="37">
        <v>312</v>
      </c>
      <c r="L29" s="38">
        <f>320.5-312</f>
        <v>8.5</v>
      </c>
      <c r="M29" s="38"/>
      <c r="N29" s="38"/>
      <c r="O29" s="38"/>
      <c r="P29" s="38"/>
      <c r="Q29" s="39">
        <f t="shared" si="5"/>
        <v>320.5</v>
      </c>
      <c r="R29" s="310">
        <f>SUM(Q29:Q30)</f>
        <v>469.4</v>
      </c>
      <c r="S29" s="66" t="str">
        <f t="shared" si="2"/>
        <v>LUK</v>
      </c>
      <c r="T29" s="45"/>
      <c r="U29" s="247"/>
      <c r="V29" s="46"/>
      <c r="W29" s="46"/>
    </row>
    <row r="30" spans="1:23" s="47" customFormat="1" ht="39" customHeight="1">
      <c r="A30" s="309"/>
      <c r="B30" s="33" t="s">
        <v>73</v>
      </c>
      <c r="C30" s="36">
        <v>114</v>
      </c>
      <c r="D30" s="36">
        <v>4</v>
      </c>
      <c r="E30" s="239">
        <v>144</v>
      </c>
      <c r="F30" s="34">
        <v>451</v>
      </c>
      <c r="G30" s="34">
        <v>28</v>
      </c>
      <c r="H30" s="35">
        <v>148.9</v>
      </c>
      <c r="I30" s="34" t="s">
        <v>49</v>
      </c>
      <c r="J30" s="36" t="s">
        <v>74</v>
      </c>
      <c r="K30" s="37">
        <f>144</f>
        <v>144</v>
      </c>
      <c r="L30" s="38">
        <f>H30-E30</f>
        <v>4.9000000000000057</v>
      </c>
      <c r="M30" s="38"/>
      <c r="N30" s="38"/>
      <c r="O30" s="38"/>
      <c r="P30" s="38"/>
      <c r="Q30" s="39">
        <f t="shared" si="5"/>
        <v>148.9</v>
      </c>
      <c r="R30" s="312"/>
      <c r="S30" s="66" t="str">
        <f t="shared" si="2"/>
        <v>LUK</v>
      </c>
      <c r="T30" s="45"/>
      <c r="U30" s="247"/>
      <c r="V30" s="46"/>
      <c r="W30" s="46"/>
    </row>
    <row r="31" spans="1:23" s="47" customFormat="1" ht="49.5" customHeight="1">
      <c r="A31" s="151">
        <v>7</v>
      </c>
      <c r="B31" s="33" t="s">
        <v>75</v>
      </c>
      <c r="C31" s="36"/>
      <c r="D31" s="36"/>
      <c r="E31" s="239"/>
      <c r="F31" s="34">
        <v>391</v>
      </c>
      <c r="G31" s="34">
        <v>28</v>
      </c>
      <c r="H31" s="35">
        <v>119.6</v>
      </c>
      <c r="I31" s="34" t="s">
        <v>49</v>
      </c>
      <c r="J31" s="36" t="s">
        <v>57</v>
      </c>
      <c r="K31" s="37"/>
      <c r="L31" s="38">
        <v>119.6</v>
      </c>
      <c r="M31" s="38"/>
      <c r="N31" s="38"/>
      <c r="O31" s="38"/>
      <c r="P31" s="38"/>
      <c r="Q31" s="39">
        <f t="shared" si="5"/>
        <v>119.6</v>
      </c>
      <c r="R31" s="59">
        <f>Q31</f>
        <v>119.6</v>
      </c>
      <c r="S31" s="66" t="str">
        <f t="shared" si="2"/>
        <v>LUK</v>
      </c>
      <c r="T31" s="45"/>
      <c r="U31" s="247"/>
      <c r="V31" s="46"/>
      <c r="W31" s="46"/>
    </row>
    <row r="32" spans="1:23" s="47" customFormat="1" ht="62.25" customHeight="1">
      <c r="A32" s="32">
        <v>8</v>
      </c>
      <c r="B32" s="33" t="s">
        <v>76</v>
      </c>
      <c r="C32" s="36">
        <v>90</v>
      </c>
      <c r="D32" s="36">
        <v>4</v>
      </c>
      <c r="E32" s="239">
        <v>153</v>
      </c>
      <c r="F32" s="34">
        <v>68</v>
      </c>
      <c r="G32" s="34">
        <v>28</v>
      </c>
      <c r="H32" s="35">
        <v>194.7</v>
      </c>
      <c r="I32" s="34" t="s">
        <v>55</v>
      </c>
      <c r="J32" s="36" t="s">
        <v>60</v>
      </c>
      <c r="K32" s="37">
        <v>153</v>
      </c>
      <c r="L32" s="38">
        <f>194.7-153</f>
        <v>41.699999999999989</v>
      </c>
      <c r="M32" s="38"/>
      <c r="N32" s="38"/>
      <c r="O32" s="38"/>
      <c r="P32" s="38"/>
      <c r="Q32" s="39">
        <f t="shared" si="5"/>
        <v>194.7</v>
      </c>
      <c r="R32" s="63">
        <f>Q32</f>
        <v>194.7</v>
      </c>
      <c r="S32" s="66" t="str">
        <f t="shared" si="2"/>
        <v>BHK</v>
      </c>
      <c r="T32" s="45"/>
      <c r="U32" s="247"/>
      <c r="V32" s="46"/>
      <c r="W32" s="46"/>
    </row>
    <row r="33" spans="1:23" s="47" customFormat="1" ht="49.5" customHeight="1">
      <c r="A33" s="307">
        <v>9</v>
      </c>
      <c r="B33" s="33" t="s">
        <v>77</v>
      </c>
      <c r="C33" s="36"/>
      <c r="D33" s="36"/>
      <c r="E33" s="239"/>
      <c r="F33" s="34">
        <v>123</v>
      </c>
      <c r="G33" s="34">
        <v>28</v>
      </c>
      <c r="H33" s="35">
        <v>180.7</v>
      </c>
      <c r="I33" s="34" t="s">
        <v>55</v>
      </c>
      <c r="J33" s="36" t="s">
        <v>60</v>
      </c>
      <c r="K33" s="37"/>
      <c r="L33" s="38"/>
      <c r="M33" s="38">
        <v>180.7</v>
      </c>
      <c r="N33" s="38"/>
      <c r="O33" s="38"/>
      <c r="P33" s="38"/>
      <c r="Q33" s="39">
        <f t="shared" si="5"/>
        <v>180.7</v>
      </c>
      <c r="R33" s="310">
        <f>Q33+Q34</f>
        <v>192.7</v>
      </c>
      <c r="S33" s="66" t="s">
        <v>553</v>
      </c>
      <c r="T33" s="45"/>
      <c r="U33" s="247"/>
      <c r="V33" s="46"/>
      <c r="W33" s="46"/>
    </row>
    <row r="34" spans="1:23" s="47" customFormat="1" ht="49.5" customHeight="1">
      <c r="A34" s="309"/>
      <c r="B34" s="33" t="s">
        <v>77</v>
      </c>
      <c r="C34" s="36"/>
      <c r="D34" s="36"/>
      <c r="E34" s="239"/>
      <c r="F34" s="34">
        <v>122</v>
      </c>
      <c r="G34" s="34">
        <v>28</v>
      </c>
      <c r="H34" s="35">
        <v>204.8</v>
      </c>
      <c r="I34" s="34" t="s">
        <v>55</v>
      </c>
      <c r="J34" s="36" t="s">
        <v>60</v>
      </c>
      <c r="K34" s="37"/>
      <c r="L34" s="38"/>
      <c r="M34" s="38">
        <v>12</v>
      </c>
      <c r="N34" s="38"/>
      <c r="O34" s="38"/>
      <c r="P34" s="38"/>
      <c r="Q34" s="39">
        <f t="shared" si="5"/>
        <v>12</v>
      </c>
      <c r="R34" s="312"/>
      <c r="S34" s="66" t="s">
        <v>553</v>
      </c>
      <c r="T34" s="45"/>
      <c r="U34" s="247"/>
      <c r="V34" s="46"/>
      <c r="W34" s="46"/>
    </row>
    <row r="35" spans="1:23" s="47" customFormat="1" ht="39.75" customHeight="1">
      <c r="A35" s="151">
        <v>10</v>
      </c>
      <c r="B35" s="33" t="s">
        <v>79</v>
      </c>
      <c r="C35" s="36"/>
      <c r="D35" s="36"/>
      <c r="E35" s="239"/>
      <c r="F35" s="34">
        <v>122</v>
      </c>
      <c r="G35" s="34">
        <v>28</v>
      </c>
      <c r="H35" s="35">
        <v>204.8</v>
      </c>
      <c r="I35" s="34" t="s">
        <v>55</v>
      </c>
      <c r="J35" s="36" t="s">
        <v>60</v>
      </c>
      <c r="K35" s="37"/>
      <c r="L35" s="38"/>
      <c r="M35" s="38">
        <v>192.8</v>
      </c>
      <c r="N35" s="38"/>
      <c r="O35" s="38"/>
      <c r="P35" s="38"/>
      <c r="Q35" s="39">
        <f t="shared" si="5"/>
        <v>192.8</v>
      </c>
      <c r="R35" s="59">
        <f>Q35</f>
        <v>192.8</v>
      </c>
      <c r="S35" s="66" t="s">
        <v>553</v>
      </c>
      <c r="T35" s="50"/>
      <c r="U35" s="247"/>
      <c r="V35" s="46"/>
      <c r="W35" s="46"/>
    </row>
    <row r="36" spans="1:23" s="47" customFormat="1" ht="80.25" customHeight="1">
      <c r="A36" s="32">
        <v>11</v>
      </c>
      <c r="B36" s="33" t="s">
        <v>82</v>
      </c>
      <c r="C36" s="36">
        <v>7</v>
      </c>
      <c r="D36" s="36">
        <v>4</v>
      </c>
      <c r="E36" s="239">
        <v>444</v>
      </c>
      <c r="F36" s="34">
        <v>251</v>
      </c>
      <c r="G36" s="34">
        <v>21</v>
      </c>
      <c r="H36" s="35">
        <v>247.1</v>
      </c>
      <c r="I36" s="34" t="s">
        <v>45</v>
      </c>
      <c r="J36" s="36" t="s">
        <v>54</v>
      </c>
      <c r="K36" s="37">
        <v>236.9</v>
      </c>
      <c r="L36" s="38">
        <f>H36-K36</f>
        <v>10.199999999999989</v>
      </c>
      <c r="M36" s="38"/>
      <c r="N36" s="38"/>
      <c r="O36" s="38"/>
      <c r="P36" s="38"/>
      <c r="Q36" s="39">
        <f t="shared" si="5"/>
        <v>247.1</v>
      </c>
      <c r="R36" s="63">
        <f t="shared" ref="R36" si="6">Q36</f>
        <v>247.1</v>
      </c>
      <c r="S36" s="66" t="str">
        <f>I36</f>
        <v>LUC</v>
      </c>
      <c r="T36" s="45"/>
      <c r="U36" s="247"/>
      <c r="V36" s="46"/>
      <c r="W36" s="46"/>
    </row>
    <row r="37" spans="1:23" s="47" customFormat="1" ht="41.25" customHeight="1">
      <c r="A37" s="307">
        <v>12</v>
      </c>
      <c r="B37" s="33" t="s">
        <v>84</v>
      </c>
      <c r="C37" s="36">
        <v>205</v>
      </c>
      <c r="D37" s="36">
        <v>5</v>
      </c>
      <c r="E37" s="239">
        <v>192</v>
      </c>
      <c r="F37" s="34">
        <v>88</v>
      </c>
      <c r="G37" s="34">
        <v>28</v>
      </c>
      <c r="H37" s="35">
        <v>239.2</v>
      </c>
      <c r="I37" s="34" t="s">
        <v>49</v>
      </c>
      <c r="J37" s="36" t="s">
        <v>50</v>
      </c>
      <c r="K37" s="37">
        <f>E37</f>
        <v>192</v>
      </c>
      <c r="L37" s="38">
        <f>H37-E37</f>
        <v>47.199999999999989</v>
      </c>
      <c r="M37" s="38"/>
      <c r="N37" s="38"/>
      <c r="O37" s="38"/>
      <c r="P37" s="38"/>
      <c r="Q37" s="39">
        <f t="shared" si="5"/>
        <v>239.2</v>
      </c>
      <c r="R37" s="310">
        <f>SUM(Q37:Q42)</f>
        <v>1030.7</v>
      </c>
      <c r="S37" s="66" t="str">
        <f>I37</f>
        <v>LUK</v>
      </c>
      <c r="T37" s="45"/>
      <c r="U37" s="247"/>
      <c r="V37" s="46"/>
      <c r="W37" s="46"/>
    </row>
    <row r="38" spans="1:23" s="47" customFormat="1" ht="40.5" customHeight="1">
      <c r="A38" s="308"/>
      <c r="B38" s="33" t="s">
        <v>84</v>
      </c>
      <c r="C38" s="36">
        <v>122</v>
      </c>
      <c r="D38" s="36">
        <v>4</v>
      </c>
      <c r="E38" s="239">
        <v>216</v>
      </c>
      <c r="F38" s="34">
        <v>474</v>
      </c>
      <c r="G38" s="34">
        <v>28</v>
      </c>
      <c r="H38" s="35">
        <v>196.9</v>
      </c>
      <c r="I38" s="34" t="s">
        <v>49</v>
      </c>
      <c r="J38" s="36" t="s">
        <v>57</v>
      </c>
      <c r="K38" s="37">
        <v>196.9</v>
      </c>
      <c r="L38" s="38"/>
      <c r="M38" s="38"/>
      <c r="N38" s="38"/>
      <c r="O38" s="38"/>
      <c r="P38" s="38"/>
      <c r="Q38" s="39">
        <f t="shared" si="5"/>
        <v>196.9</v>
      </c>
      <c r="R38" s="311"/>
      <c r="S38" s="66" t="str">
        <f>I38</f>
        <v>LUK</v>
      </c>
      <c r="T38" s="45"/>
      <c r="U38" s="247"/>
      <c r="V38" s="46"/>
      <c r="W38" s="46"/>
    </row>
    <row r="39" spans="1:23" s="47" customFormat="1" ht="45.75" customHeight="1">
      <c r="A39" s="308"/>
      <c r="B39" s="33" t="s">
        <v>84</v>
      </c>
      <c r="C39" s="36">
        <v>192</v>
      </c>
      <c r="D39" s="36">
        <v>4</v>
      </c>
      <c r="E39" s="239">
        <v>132</v>
      </c>
      <c r="F39" s="34">
        <v>475</v>
      </c>
      <c r="G39" s="34">
        <v>28</v>
      </c>
      <c r="H39" s="35">
        <v>105.4</v>
      </c>
      <c r="I39" s="34" t="s">
        <v>49</v>
      </c>
      <c r="J39" s="36" t="s">
        <v>57</v>
      </c>
      <c r="K39" s="37">
        <v>82.3</v>
      </c>
      <c r="L39" s="38">
        <v>23.1</v>
      </c>
      <c r="M39" s="38"/>
      <c r="N39" s="38"/>
      <c r="O39" s="38"/>
      <c r="P39" s="38"/>
      <c r="Q39" s="39">
        <f t="shared" si="5"/>
        <v>105.4</v>
      </c>
      <c r="R39" s="311"/>
      <c r="S39" s="66" t="str">
        <f>I39</f>
        <v>LUK</v>
      </c>
      <c r="T39" s="45"/>
      <c r="U39" s="247"/>
      <c r="V39" s="46"/>
      <c r="W39" s="46"/>
    </row>
    <row r="40" spans="1:23" s="47" customFormat="1" ht="45.75" customHeight="1">
      <c r="A40" s="308"/>
      <c r="B40" s="33" t="s">
        <v>84</v>
      </c>
      <c r="C40" s="36"/>
      <c r="D40" s="36"/>
      <c r="E40" s="239"/>
      <c r="F40" s="34">
        <v>235</v>
      </c>
      <c r="G40" s="34">
        <v>21</v>
      </c>
      <c r="H40" s="35">
        <v>142.19999999999999</v>
      </c>
      <c r="I40" s="34" t="s">
        <v>49</v>
      </c>
      <c r="J40" s="36" t="s">
        <v>54</v>
      </c>
      <c r="K40" s="37"/>
      <c r="L40" s="38"/>
      <c r="M40" s="38">
        <v>142.19999999999999</v>
      </c>
      <c r="N40" s="38"/>
      <c r="O40" s="38"/>
      <c r="P40" s="38"/>
      <c r="Q40" s="39">
        <f t="shared" si="5"/>
        <v>142.19999999999999</v>
      </c>
      <c r="R40" s="311"/>
      <c r="S40" s="66" t="s">
        <v>553</v>
      </c>
      <c r="T40" s="45"/>
      <c r="U40" s="247"/>
      <c r="V40" s="46"/>
      <c r="W40" s="46"/>
    </row>
    <row r="41" spans="1:23" s="47" customFormat="1" ht="45.75" customHeight="1">
      <c r="A41" s="308"/>
      <c r="B41" s="33" t="s">
        <v>84</v>
      </c>
      <c r="C41" s="36"/>
      <c r="D41" s="36"/>
      <c r="E41" s="239"/>
      <c r="F41" s="34">
        <v>200</v>
      </c>
      <c r="G41" s="34">
        <v>21</v>
      </c>
      <c r="H41" s="35">
        <v>206</v>
      </c>
      <c r="I41" s="34" t="s">
        <v>55</v>
      </c>
      <c r="J41" s="36" t="s">
        <v>54</v>
      </c>
      <c r="K41" s="37"/>
      <c r="L41" s="38"/>
      <c r="M41" s="38">
        <v>206</v>
      </c>
      <c r="N41" s="38"/>
      <c r="O41" s="38"/>
      <c r="P41" s="38"/>
      <c r="Q41" s="39">
        <f t="shared" si="5"/>
        <v>206</v>
      </c>
      <c r="R41" s="311"/>
      <c r="S41" s="66" t="s">
        <v>553</v>
      </c>
      <c r="T41" s="45"/>
      <c r="U41" s="247"/>
      <c r="V41" s="46"/>
      <c r="W41" s="46"/>
    </row>
    <row r="42" spans="1:23" s="47" customFormat="1" ht="45.75" customHeight="1">
      <c r="A42" s="309"/>
      <c r="B42" s="33" t="s">
        <v>84</v>
      </c>
      <c r="C42" s="36"/>
      <c r="D42" s="36"/>
      <c r="E42" s="239"/>
      <c r="F42" s="34">
        <v>199</v>
      </c>
      <c r="G42" s="34">
        <v>21</v>
      </c>
      <c r="H42" s="35">
        <v>141</v>
      </c>
      <c r="I42" s="34" t="s">
        <v>55</v>
      </c>
      <c r="J42" s="36" t="s">
        <v>54</v>
      </c>
      <c r="K42" s="37"/>
      <c r="L42" s="38"/>
      <c r="M42" s="38">
        <v>141</v>
      </c>
      <c r="N42" s="38"/>
      <c r="O42" s="38"/>
      <c r="P42" s="38"/>
      <c r="Q42" s="39">
        <f t="shared" si="5"/>
        <v>141</v>
      </c>
      <c r="R42" s="312"/>
      <c r="S42" s="66" t="s">
        <v>553</v>
      </c>
      <c r="T42" s="45"/>
      <c r="U42" s="247"/>
      <c r="V42" s="46"/>
      <c r="W42" s="46"/>
    </row>
    <row r="43" spans="1:23" s="47" customFormat="1" ht="45.75" customHeight="1">
      <c r="A43" s="151">
        <v>13</v>
      </c>
      <c r="B43" s="65" t="s">
        <v>91</v>
      </c>
      <c r="C43" s="36"/>
      <c r="D43" s="36"/>
      <c r="E43" s="239"/>
      <c r="F43" s="34">
        <v>126</v>
      </c>
      <c r="G43" s="34">
        <v>28</v>
      </c>
      <c r="H43" s="35">
        <v>117.6</v>
      </c>
      <c r="I43" s="34" t="s">
        <v>55</v>
      </c>
      <c r="J43" s="36" t="s">
        <v>60</v>
      </c>
      <c r="K43" s="37"/>
      <c r="L43" s="38">
        <f>H43-E43</f>
        <v>117.6</v>
      </c>
      <c r="M43" s="38"/>
      <c r="N43" s="38"/>
      <c r="O43" s="38"/>
      <c r="P43" s="38"/>
      <c r="Q43" s="39">
        <f t="shared" si="5"/>
        <v>117.6</v>
      </c>
      <c r="R43" s="59">
        <f>Q43</f>
        <v>117.6</v>
      </c>
      <c r="S43" s="66" t="str">
        <f>I43</f>
        <v>BHK</v>
      </c>
      <c r="T43" s="45"/>
      <c r="U43" s="247"/>
      <c r="V43" s="46"/>
      <c r="W43" s="46"/>
    </row>
    <row r="44" spans="1:23" s="47" customFormat="1" ht="41.25" customHeight="1">
      <c r="A44" s="307">
        <v>14</v>
      </c>
      <c r="B44" s="33" t="s">
        <v>92</v>
      </c>
      <c r="C44" s="36">
        <v>21</v>
      </c>
      <c r="D44" s="36">
        <v>4</v>
      </c>
      <c r="E44" s="239">
        <v>600</v>
      </c>
      <c r="F44" s="34">
        <v>193</v>
      </c>
      <c r="G44" s="34">
        <v>28</v>
      </c>
      <c r="H44" s="35">
        <v>720.4</v>
      </c>
      <c r="I44" s="34" t="s">
        <v>45</v>
      </c>
      <c r="J44" s="36" t="s">
        <v>60</v>
      </c>
      <c r="K44" s="37">
        <f>E44</f>
        <v>600</v>
      </c>
      <c r="L44" s="38">
        <f>720.4-600</f>
        <v>120.39999999999998</v>
      </c>
      <c r="M44" s="38"/>
      <c r="N44" s="38"/>
      <c r="O44" s="38"/>
      <c r="P44" s="38"/>
      <c r="Q44" s="39">
        <f t="shared" si="5"/>
        <v>720.4</v>
      </c>
      <c r="R44" s="310">
        <f>SUM(Q44:Q45)</f>
        <v>811.1</v>
      </c>
      <c r="S44" s="66" t="str">
        <f>I44</f>
        <v>LUC</v>
      </c>
      <c r="T44" s="45"/>
      <c r="U44" s="247"/>
      <c r="V44" s="46"/>
      <c r="W44" s="46"/>
    </row>
    <row r="45" spans="1:23" s="47" customFormat="1" ht="41.25" customHeight="1">
      <c r="A45" s="308"/>
      <c r="B45" s="33" t="s">
        <v>92</v>
      </c>
      <c r="C45" s="36"/>
      <c r="D45" s="36"/>
      <c r="E45" s="239"/>
      <c r="F45" s="34">
        <v>101</v>
      </c>
      <c r="G45" s="34">
        <v>28</v>
      </c>
      <c r="H45" s="35">
        <v>90.7</v>
      </c>
      <c r="I45" s="34" t="s">
        <v>55</v>
      </c>
      <c r="J45" s="36" t="s">
        <v>56</v>
      </c>
      <c r="K45" s="37"/>
      <c r="L45" s="38"/>
      <c r="M45" s="38">
        <v>90.7</v>
      </c>
      <c r="N45" s="38"/>
      <c r="O45" s="38"/>
      <c r="P45" s="38"/>
      <c r="Q45" s="39">
        <f t="shared" si="5"/>
        <v>90.7</v>
      </c>
      <c r="R45" s="311"/>
      <c r="S45" s="66" t="s">
        <v>553</v>
      </c>
      <c r="T45" s="45"/>
      <c r="U45" s="247"/>
      <c r="V45" s="46"/>
      <c r="W45" s="46"/>
    </row>
    <row r="46" spans="1:23" s="47" customFormat="1" ht="41.25" customHeight="1">
      <c r="A46" s="307">
        <v>15</v>
      </c>
      <c r="B46" s="33" t="s">
        <v>94</v>
      </c>
      <c r="C46" s="36"/>
      <c r="D46" s="36"/>
      <c r="E46" s="239"/>
      <c r="F46" s="34" t="s">
        <v>95</v>
      </c>
      <c r="G46" s="34" t="s">
        <v>96</v>
      </c>
      <c r="H46" s="35">
        <v>496.9</v>
      </c>
      <c r="I46" s="34" t="s">
        <v>45</v>
      </c>
      <c r="J46" s="36" t="s">
        <v>54</v>
      </c>
      <c r="K46" s="37"/>
      <c r="L46" s="38">
        <v>496.9</v>
      </c>
      <c r="M46" s="38"/>
      <c r="N46" s="38"/>
      <c r="O46" s="38"/>
      <c r="P46" s="38"/>
      <c r="Q46" s="39">
        <f t="shared" si="5"/>
        <v>496.9</v>
      </c>
      <c r="R46" s="310">
        <f>SUM(Q46:Q49)</f>
        <v>839.4</v>
      </c>
      <c r="S46" s="66" t="str">
        <f t="shared" ref="S46:S78" si="7">I46</f>
        <v>LUC</v>
      </c>
      <c r="T46" s="45"/>
      <c r="U46" s="247"/>
      <c r="V46" s="46"/>
      <c r="W46" s="46"/>
    </row>
    <row r="47" spans="1:23" s="47" customFormat="1" ht="41.25" customHeight="1">
      <c r="A47" s="308"/>
      <c r="B47" s="33" t="s">
        <v>94</v>
      </c>
      <c r="C47" s="36">
        <v>250</v>
      </c>
      <c r="D47" s="36">
        <v>4</v>
      </c>
      <c r="E47" s="239">
        <v>72</v>
      </c>
      <c r="F47" s="34" t="s">
        <v>98</v>
      </c>
      <c r="G47" s="34" t="s">
        <v>99</v>
      </c>
      <c r="H47" s="35">
        <v>96.9</v>
      </c>
      <c r="I47" s="34" t="s">
        <v>49</v>
      </c>
      <c r="J47" s="36" t="s">
        <v>50</v>
      </c>
      <c r="K47" s="37">
        <f t="shared" ref="K47:K75" si="8">E47</f>
        <v>72</v>
      </c>
      <c r="L47" s="38">
        <f>H47-K47</f>
        <v>24.900000000000006</v>
      </c>
      <c r="M47" s="38"/>
      <c r="N47" s="38"/>
      <c r="O47" s="38"/>
      <c r="P47" s="38"/>
      <c r="Q47" s="39">
        <f t="shared" si="5"/>
        <v>96.9</v>
      </c>
      <c r="R47" s="311"/>
      <c r="S47" s="66" t="str">
        <f t="shared" si="7"/>
        <v>LUK</v>
      </c>
      <c r="T47" s="45"/>
      <c r="U47" s="247"/>
      <c r="V47" s="46"/>
      <c r="W47" s="46"/>
    </row>
    <row r="48" spans="1:23" s="47" customFormat="1" ht="41.25" customHeight="1">
      <c r="A48" s="308"/>
      <c r="B48" s="33" t="s">
        <v>94</v>
      </c>
      <c r="C48" s="36">
        <v>87</v>
      </c>
      <c r="D48" s="36">
        <v>4</v>
      </c>
      <c r="E48" s="239">
        <v>120</v>
      </c>
      <c r="F48" s="34" t="s">
        <v>101</v>
      </c>
      <c r="G48" s="34" t="s">
        <v>99</v>
      </c>
      <c r="H48" s="35">
        <v>138.1</v>
      </c>
      <c r="I48" s="34" t="s">
        <v>55</v>
      </c>
      <c r="J48" s="36" t="s">
        <v>60</v>
      </c>
      <c r="K48" s="37">
        <f t="shared" si="8"/>
        <v>120</v>
      </c>
      <c r="L48" s="38">
        <f t="shared" ref="L48" si="9">H48-K48</f>
        <v>18.099999999999994</v>
      </c>
      <c r="M48" s="38"/>
      <c r="N48" s="38"/>
      <c r="O48" s="38"/>
      <c r="P48" s="38"/>
      <c r="Q48" s="39">
        <f t="shared" si="5"/>
        <v>138.1</v>
      </c>
      <c r="R48" s="311"/>
      <c r="S48" s="66" t="str">
        <f t="shared" si="7"/>
        <v>BHK</v>
      </c>
      <c r="T48" s="45"/>
      <c r="U48" s="247"/>
      <c r="V48" s="46"/>
      <c r="W48" s="46"/>
    </row>
    <row r="49" spans="1:23" s="47" customFormat="1" ht="41.25" customHeight="1">
      <c r="A49" s="309"/>
      <c r="B49" s="33" t="s">
        <v>94</v>
      </c>
      <c r="C49" s="36">
        <v>120</v>
      </c>
      <c r="D49" s="36">
        <v>4</v>
      </c>
      <c r="E49" s="239">
        <v>96</v>
      </c>
      <c r="F49" s="34" t="s">
        <v>103</v>
      </c>
      <c r="G49" s="34" t="s">
        <v>99</v>
      </c>
      <c r="H49" s="35">
        <v>107.5</v>
      </c>
      <c r="I49" s="34" t="s">
        <v>49</v>
      </c>
      <c r="J49" s="36" t="s">
        <v>57</v>
      </c>
      <c r="K49" s="37">
        <f t="shared" si="8"/>
        <v>96</v>
      </c>
      <c r="L49" s="38">
        <f t="shared" ref="L49" si="10">H49-K49</f>
        <v>11.5</v>
      </c>
      <c r="M49" s="38"/>
      <c r="N49" s="38"/>
      <c r="O49" s="38"/>
      <c r="P49" s="38"/>
      <c r="Q49" s="39">
        <f t="shared" si="5"/>
        <v>107.5</v>
      </c>
      <c r="R49" s="312"/>
      <c r="S49" s="66" t="str">
        <f t="shared" si="7"/>
        <v>LUK</v>
      </c>
      <c r="T49" s="45"/>
      <c r="U49" s="247"/>
      <c r="V49" s="46"/>
      <c r="W49" s="46"/>
    </row>
    <row r="50" spans="1:23" s="68" customFormat="1" ht="49.5" customHeight="1">
      <c r="A50" s="307">
        <v>16</v>
      </c>
      <c r="B50" s="33" t="s">
        <v>104</v>
      </c>
      <c r="C50" s="36">
        <v>98</v>
      </c>
      <c r="D50" s="36">
        <v>5</v>
      </c>
      <c r="E50" s="239">
        <v>408</v>
      </c>
      <c r="F50" s="34">
        <v>92</v>
      </c>
      <c r="G50" s="34">
        <v>28</v>
      </c>
      <c r="H50" s="35">
        <v>387.7</v>
      </c>
      <c r="I50" s="34" t="s">
        <v>45</v>
      </c>
      <c r="J50" s="36" t="s">
        <v>60</v>
      </c>
      <c r="K50" s="37">
        <f>387.7</f>
        <v>387.7</v>
      </c>
      <c r="L50" s="38"/>
      <c r="M50" s="38"/>
      <c r="N50" s="38"/>
      <c r="O50" s="38"/>
      <c r="P50" s="38"/>
      <c r="Q50" s="39">
        <f t="shared" si="5"/>
        <v>387.7</v>
      </c>
      <c r="R50" s="316">
        <f>SUM(Q50:Q52)</f>
        <v>454.6</v>
      </c>
      <c r="S50" s="66" t="str">
        <f t="shared" si="7"/>
        <v>LUC</v>
      </c>
      <c r="T50" s="45"/>
      <c r="U50" s="248"/>
      <c r="V50" s="67"/>
      <c r="W50" s="67"/>
    </row>
    <row r="51" spans="1:23" s="68" customFormat="1" ht="49.5" customHeight="1">
      <c r="A51" s="308"/>
      <c r="B51" s="33" t="s">
        <v>104</v>
      </c>
      <c r="C51" s="36"/>
      <c r="D51" s="36"/>
      <c r="E51" s="239"/>
      <c r="F51" s="34">
        <v>75</v>
      </c>
      <c r="G51" s="34">
        <v>28</v>
      </c>
      <c r="H51" s="35">
        <v>408.7</v>
      </c>
      <c r="I51" s="34" t="s">
        <v>45</v>
      </c>
      <c r="J51" s="36" t="s">
        <v>60</v>
      </c>
      <c r="K51" s="37">
        <f>408-387.7</f>
        <v>20.300000000000011</v>
      </c>
      <c r="L51" s="38">
        <f>44.1-20.3</f>
        <v>23.8</v>
      </c>
      <c r="M51" s="38"/>
      <c r="N51" s="38"/>
      <c r="O51" s="38"/>
      <c r="P51" s="38"/>
      <c r="Q51" s="39">
        <f t="shared" si="5"/>
        <v>44.100000000000009</v>
      </c>
      <c r="R51" s="316"/>
      <c r="S51" s="66" t="str">
        <f t="shared" si="7"/>
        <v>LUC</v>
      </c>
      <c r="T51" s="45"/>
      <c r="U51" s="248"/>
      <c r="V51" s="67"/>
      <c r="W51" s="67"/>
    </row>
    <row r="52" spans="1:23" s="68" customFormat="1" ht="49.5" customHeight="1">
      <c r="A52" s="309"/>
      <c r="B52" s="33" t="s">
        <v>104</v>
      </c>
      <c r="C52" s="36"/>
      <c r="D52" s="36"/>
      <c r="E52" s="239"/>
      <c r="F52" s="34">
        <v>93</v>
      </c>
      <c r="G52" s="34">
        <v>28</v>
      </c>
      <c r="H52" s="35">
        <v>424</v>
      </c>
      <c r="I52" s="34" t="s">
        <v>45</v>
      </c>
      <c r="J52" s="36" t="s">
        <v>60</v>
      </c>
      <c r="K52" s="37"/>
      <c r="L52" s="38">
        <v>22.8</v>
      </c>
      <c r="M52" s="38"/>
      <c r="N52" s="38"/>
      <c r="O52" s="38"/>
      <c r="P52" s="38"/>
      <c r="Q52" s="39">
        <f t="shared" si="5"/>
        <v>22.8</v>
      </c>
      <c r="R52" s="316"/>
      <c r="S52" s="66" t="str">
        <f t="shared" si="7"/>
        <v>LUC</v>
      </c>
      <c r="T52" s="45"/>
      <c r="U52" s="248"/>
      <c r="V52" s="67"/>
      <c r="W52" s="67"/>
    </row>
    <row r="53" spans="1:23" s="68" customFormat="1" ht="49.5" customHeight="1">
      <c r="A53" s="307">
        <v>17</v>
      </c>
      <c r="B53" s="33" t="s">
        <v>105</v>
      </c>
      <c r="C53" s="36">
        <v>80</v>
      </c>
      <c r="D53" s="36">
        <v>4</v>
      </c>
      <c r="E53" s="239">
        <v>360</v>
      </c>
      <c r="F53" s="34" t="s">
        <v>106</v>
      </c>
      <c r="G53" s="34">
        <v>28</v>
      </c>
      <c r="H53" s="35">
        <v>474.5</v>
      </c>
      <c r="I53" s="34" t="s">
        <v>45</v>
      </c>
      <c r="J53" s="36" t="s">
        <v>60</v>
      </c>
      <c r="K53" s="37">
        <f t="shared" si="8"/>
        <v>360</v>
      </c>
      <c r="L53" s="38">
        <f>H53-K53</f>
        <v>114.5</v>
      </c>
      <c r="M53" s="38"/>
      <c r="N53" s="38"/>
      <c r="O53" s="38"/>
      <c r="P53" s="38"/>
      <c r="Q53" s="39">
        <f t="shared" si="5"/>
        <v>474.5</v>
      </c>
      <c r="R53" s="316">
        <f>SUM(Q53:Q55)</f>
        <v>751.9</v>
      </c>
      <c r="S53" s="66" t="str">
        <f t="shared" si="7"/>
        <v>LUC</v>
      </c>
      <c r="T53" s="45"/>
      <c r="U53" s="248"/>
      <c r="V53" s="67"/>
      <c r="W53" s="67"/>
    </row>
    <row r="54" spans="1:23" s="68" customFormat="1" ht="49.5" customHeight="1">
      <c r="A54" s="308"/>
      <c r="B54" s="33" t="s">
        <v>105</v>
      </c>
      <c r="C54" s="36">
        <v>202</v>
      </c>
      <c r="D54" s="36">
        <v>4</v>
      </c>
      <c r="E54" s="239">
        <v>168</v>
      </c>
      <c r="F54" s="34" t="s">
        <v>108</v>
      </c>
      <c r="G54" s="34">
        <v>28</v>
      </c>
      <c r="H54" s="35">
        <v>289.10000000000002</v>
      </c>
      <c r="I54" s="34" t="s">
        <v>49</v>
      </c>
      <c r="J54" s="36" t="s">
        <v>109</v>
      </c>
      <c r="K54" s="37">
        <v>41</v>
      </c>
      <c r="L54" s="38"/>
      <c r="M54" s="38"/>
      <c r="N54" s="38"/>
      <c r="O54" s="38"/>
      <c r="P54" s="38"/>
      <c r="Q54" s="39">
        <f t="shared" si="5"/>
        <v>41</v>
      </c>
      <c r="R54" s="316"/>
      <c r="S54" s="66" t="str">
        <f t="shared" si="7"/>
        <v>LUK</v>
      </c>
      <c r="T54" s="45"/>
      <c r="U54" s="248"/>
      <c r="V54" s="67"/>
      <c r="W54" s="67"/>
    </row>
    <row r="55" spans="1:23" s="68" customFormat="1" ht="49.5" customHeight="1">
      <c r="A55" s="308"/>
      <c r="B55" s="33" t="s">
        <v>105</v>
      </c>
      <c r="C55" s="36">
        <v>207</v>
      </c>
      <c r="D55" s="36">
        <v>4</v>
      </c>
      <c r="E55" s="239">
        <v>168</v>
      </c>
      <c r="F55" s="34" t="s">
        <v>110</v>
      </c>
      <c r="G55" s="34">
        <v>28</v>
      </c>
      <c r="H55" s="35">
        <v>236.4</v>
      </c>
      <c r="I55" s="34" t="s">
        <v>49</v>
      </c>
      <c r="J55" s="36" t="s">
        <v>111</v>
      </c>
      <c r="K55" s="37">
        <f t="shared" ref="K55" si="11">E55</f>
        <v>168</v>
      </c>
      <c r="L55" s="38">
        <f>H55-K55</f>
        <v>68.400000000000006</v>
      </c>
      <c r="M55" s="38"/>
      <c r="N55" s="38"/>
      <c r="O55" s="38"/>
      <c r="P55" s="38"/>
      <c r="Q55" s="39">
        <f t="shared" si="5"/>
        <v>236.4</v>
      </c>
      <c r="R55" s="316"/>
      <c r="S55" s="66" t="str">
        <f t="shared" si="7"/>
        <v>LUK</v>
      </c>
      <c r="T55" s="45"/>
      <c r="U55" s="248"/>
      <c r="V55" s="67"/>
      <c r="W55" s="67"/>
    </row>
    <row r="56" spans="1:23" s="68" customFormat="1" ht="49.5" customHeight="1">
      <c r="A56" s="307">
        <v>18</v>
      </c>
      <c r="B56" s="33" t="s">
        <v>114</v>
      </c>
      <c r="C56" s="36"/>
      <c r="D56" s="36"/>
      <c r="E56" s="239"/>
      <c r="F56" s="34">
        <v>393</v>
      </c>
      <c r="G56" s="34">
        <v>28</v>
      </c>
      <c r="H56" s="35" t="s">
        <v>115</v>
      </c>
      <c r="I56" s="34" t="s">
        <v>49</v>
      </c>
      <c r="J56" s="36" t="s">
        <v>57</v>
      </c>
      <c r="K56" s="37"/>
      <c r="L56" s="38">
        <v>53.3</v>
      </c>
      <c r="M56" s="38"/>
      <c r="N56" s="38"/>
      <c r="O56" s="38"/>
      <c r="P56" s="38"/>
      <c r="Q56" s="39">
        <f t="shared" si="5"/>
        <v>53.3</v>
      </c>
      <c r="R56" s="310">
        <f>Q56+Q57</f>
        <v>134.6</v>
      </c>
      <c r="S56" s="66" t="str">
        <f t="shared" si="7"/>
        <v>LUK</v>
      </c>
      <c r="T56" s="45"/>
      <c r="U56" s="248"/>
      <c r="V56" s="67"/>
      <c r="W56" s="67"/>
    </row>
    <row r="57" spans="1:23" s="68" customFormat="1" ht="66.75" customHeight="1">
      <c r="A57" s="309"/>
      <c r="B57" s="33" t="s">
        <v>116</v>
      </c>
      <c r="C57" s="36">
        <v>3</v>
      </c>
      <c r="D57" s="36">
        <v>4</v>
      </c>
      <c r="E57" s="239">
        <v>120</v>
      </c>
      <c r="F57" s="34">
        <v>212</v>
      </c>
      <c r="G57" s="34">
        <v>21</v>
      </c>
      <c r="H57" s="35" t="s">
        <v>117</v>
      </c>
      <c r="I57" s="34" t="s">
        <v>45</v>
      </c>
      <c r="J57" s="36" t="s">
        <v>54</v>
      </c>
      <c r="K57" s="37">
        <v>81.3</v>
      </c>
      <c r="L57" s="38"/>
      <c r="M57" s="38"/>
      <c r="N57" s="38"/>
      <c r="O57" s="38"/>
      <c r="P57" s="38"/>
      <c r="Q57" s="39">
        <f t="shared" si="5"/>
        <v>81.3</v>
      </c>
      <c r="R57" s="312"/>
      <c r="S57" s="66" t="str">
        <f t="shared" si="7"/>
        <v>LUC</v>
      </c>
      <c r="T57" s="45"/>
      <c r="U57" s="248"/>
      <c r="V57" s="67"/>
      <c r="W57" s="67"/>
    </row>
    <row r="58" spans="1:23" s="47" customFormat="1" ht="49.5" customHeight="1">
      <c r="A58" s="307">
        <v>19</v>
      </c>
      <c r="B58" s="33" t="s">
        <v>119</v>
      </c>
      <c r="C58" s="36">
        <v>7</v>
      </c>
      <c r="D58" s="36">
        <v>4</v>
      </c>
      <c r="E58" s="239">
        <v>360</v>
      </c>
      <c r="F58" s="34" t="s">
        <v>120</v>
      </c>
      <c r="G58" s="34" t="s">
        <v>96</v>
      </c>
      <c r="H58" s="35">
        <v>190.2</v>
      </c>
      <c r="I58" s="34" t="s">
        <v>45</v>
      </c>
      <c r="J58" s="36" t="s">
        <v>54</v>
      </c>
      <c r="K58" s="37">
        <v>174.7</v>
      </c>
      <c r="L58" s="38">
        <v>15.5</v>
      </c>
      <c r="M58" s="38"/>
      <c r="N58" s="38"/>
      <c r="O58" s="38"/>
      <c r="P58" s="38"/>
      <c r="Q58" s="39">
        <f t="shared" si="5"/>
        <v>190.2</v>
      </c>
      <c r="R58" s="310">
        <f>Q58+Q59+Q60</f>
        <v>389</v>
      </c>
      <c r="S58" s="66" t="str">
        <f t="shared" si="7"/>
        <v>LUC</v>
      </c>
      <c r="T58" s="45"/>
      <c r="U58" s="247"/>
      <c r="V58" s="46"/>
      <c r="W58" s="46"/>
    </row>
    <row r="59" spans="1:23" s="47" customFormat="1" ht="49.5" customHeight="1">
      <c r="A59" s="308"/>
      <c r="B59" s="33" t="s">
        <v>119</v>
      </c>
      <c r="C59" s="36"/>
      <c r="D59" s="36"/>
      <c r="E59" s="239"/>
      <c r="F59" s="34" t="s">
        <v>121</v>
      </c>
      <c r="G59" s="34" t="s">
        <v>99</v>
      </c>
      <c r="H59" s="35">
        <v>130.19999999999999</v>
      </c>
      <c r="I59" s="34" t="s">
        <v>49</v>
      </c>
      <c r="J59" s="36" t="s">
        <v>50</v>
      </c>
      <c r="K59" s="37"/>
      <c r="L59" s="38">
        <v>130.19999999999999</v>
      </c>
      <c r="M59" s="38"/>
      <c r="N59" s="38"/>
      <c r="O59" s="38"/>
      <c r="P59" s="38"/>
      <c r="Q59" s="39">
        <f t="shared" si="5"/>
        <v>130.19999999999999</v>
      </c>
      <c r="R59" s="311"/>
      <c r="S59" s="66" t="str">
        <f t="shared" si="7"/>
        <v>LUK</v>
      </c>
      <c r="T59" s="45"/>
      <c r="U59" s="247"/>
      <c r="V59" s="46"/>
      <c r="W59" s="46"/>
    </row>
    <row r="60" spans="1:23" s="47" customFormat="1" ht="49.5" customHeight="1">
      <c r="A60" s="309"/>
      <c r="B60" s="33" t="s">
        <v>119</v>
      </c>
      <c r="C60" s="36">
        <v>129</v>
      </c>
      <c r="D60" s="36">
        <v>5</v>
      </c>
      <c r="E60" s="239">
        <v>48</v>
      </c>
      <c r="F60" s="34" t="s">
        <v>122</v>
      </c>
      <c r="G60" s="34" t="s">
        <v>99</v>
      </c>
      <c r="H60" s="35">
        <v>68.599999999999994</v>
      </c>
      <c r="I60" s="34" t="s">
        <v>49</v>
      </c>
      <c r="J60" s="36" t="s">
        <v>57</v>
      </c>
      <c r="K60" s="37">
        <f t="shared" si="8"/>
        <v>48</v>
      </c>
      <c r="L60" s="38">
        <f>H60-K60</f>
        <v>20.599999999999994</v>
      </c>
      <c r="M60" s="38"/>
      <c r="N60" s="38"/>
      <c r="O60" s="38"/>
      <c r="P60" s="38"/>
      <c r="Q60" s="39">
        <f t="shared" si="5"/>
        <v>68.599999999999994</v>
      </c>
      <c r="R60" s="312"/>
      <c r="S60" s="66" t="str">
        <f t="shared" si="7"/>
        <v>LUK</v>
      </c>
      <c r="T60" s="45"/>
      <c r="U60" s="247"/>
      <c r="V60" s="46"/>
      <c r="W60" s="46"/>
    </row>
    <row r="61" spans="1:23" s="47" customFormat="1" ht="49.5" customHeight="1">
      <c r="A61" s="307">
        <v>20</v>
      </c>
      <c r="B61" s="33" t="s">
        <v>124</v>
      </c>
      <c r="C61" s="36">
        <v>99</v>
      </c>
      <c r="D61" s="36">
        <v>5</v>
      </c>
      <c r="E61" s="239">
        <v>456</v>
      </c>
      <c r="F61" s="34" t="s">
        <v>125</v>
      </c>
      <c r="G61" s="34">
        <v>28</v>
      </c>
      <c r="H61" s="35">
        <v>540</v>
      </c>
      <c r="I61" s="34" t="s">
        <v>45</v>
      </c>
      <c r="J61" s="36" t="s">
        <v>60</v>
      </c>
      <c r="K61" s="37">
        <f t="shared" si="8"/>
        <v>456</v>
      </c>
      <c r="L61" s="38">
        <f>540-456</f>
        <v>84</v>
      </c>
      <c r="M61" s="38"/>
      <c r="N61" s="38"/>
      <c r="O61" s="38"/>
      <c r="P61" s="38"/>
      <c r="Q61" s="39">
        <f t="shared" si="5"/>
        <v>540</v>
      </c>
      <c r="R61" s="59">
        <f>SUM(Q61:Q62)</f>
        <v>636.9</v>
      </c>
      <c r="S61" s="66" t="str">
        <f t="shared" si="7"/>
        <v>LUC</v>
      </c>
      <c r="T61" s="45"/>
      <c r="U61" s="247"/>
      <c r="V61" s="46"/>
      <c r="W61" s="46"/>
    </row>
    <row r="62" spans="1:23" s="47" customFormat="1" ht="49.5" customHeight="1">
      <c r="A62" s="309"/>
      <c r="B62" s="33" t="s">
        <v>124</v>
      </c>
      <c r="C62" s="36">
        <v>128</v>
      </c>
      <c r="D62" s="36">
        <v>5</v>
      </c>
      <c r="E62" s="239">
        <v>60</v>
      </c>
      <c r="F62" s="34" t="s">
        <v>126</v>
      </c>
      <c r="G62" s="34">
        <v>28</v>
      </c>
      <c r="H62" s="35">
        <v>96.9</v>
      </c>
      <c r="I62" s="34" t="s">
        <v>49</v>
      </c>
      <c r="J62" s="36" t="s">
        <v>50</v>
      </c>
      <c r="K62" s="37">
        <f t="shared" si="8"/>
        <v>60</v>
      </c>
      <c r="L62" s="38">
        <f>96.9-60</f>
        <v>36.900000000000006</v>
      </c>
      <c r="M62" s="38"/>
      <c r="N62" s="38"/>
      <c r="O62" s="38"/>
      <c r="P62" s="38"/>
      <c r="Q62" s="39">
        <f t="shared" si="5"/>
        <v>96.9</v>
      </c>
      <c r="R62" s="61"/>
      <c r="S62" s="66" t="str">
        <f t="shared" si="7"/>
        <v>LUK</v>
      </c>
      <c r="T62" s="45"/>
      <c r="U62" s="247"/>
      <c r="V62" s="46"/>
      <c r="W62" s="46"/>
    </row>
    <row r="63" spans="1:23" s="68" customFormat="1" ht="49.5" customHeight="1">
      <c r="A63" s="307">
        <v>21</v>
      </c>
      <c r="B63" s="33" t="s">
        <v>127</v>
      </c>
      <c r="C63" s="72">
        <v>8</v>
      </c>
      <c r="D63" s="72">
        <v>4</v>
      </c>
      <c r="E63" s="73">
        <v>1056</v>
      </c>
      <c r="F63" s="48" t="s">
        <v>128</v>
      </c>
      <c r="G63" s="34">
        <v>21</v>
      </c>
      <c r="H63" s="35">
        <v>419.2</v>
      </c>
      <c r="I63" s="34" t="s">
        <v>45</v>
      </c>
      <c r="J63" s="36" t="s">
        <v>54</v>
      </c>
      <c r="K63" s="37">
        <v>419.2</v>
      </c>
      <c r="L63" s="38">
        <f t="shared" ref="L63:L70" si="12">H63-K63</f>
        <v>0</v>
      </c>
      <c r="M63" s="38"/>
      <c r="N63" s="38"/>
      <c r="O63" s="38"/>
      <c r="P63" s="38"/>
      <c r="Q63" s="39">
        <f t="shared" si="5"/>
        <v>419.2</v>
      </c>
      <c r="R63" s="310" t="e">
        <f>SUM(Q63:Q69)</f>
        <v>#VALUE!</v>
      </c>
      <c r="S63" s="66" t="str">
        <f t="shared" si="7"/>
        <v>LUC</v>
      </c>
      <c r="T63" s="45"/>
      <c r="U63" s="248"/>
      <c r="V63" s="67"/>
      <c r="W63" s="67"/>
    </row>
    <row r="64" spans="1:23" s="68" customFormat="1" ht="49.5" customHeight="1">
      <c r="A64" s="308"/>
      <c r="B64" s="33" t="s">
        <v>127</v>
      </c>
      <c r="C64" s="74"/>
      <c r="D64" s="74"/>
      <c r="E64" s="75"/>
      <c r="F64" s="34">
        <v>230</v>
      </c>
      <c r="G64" s="34">
        <v>21</v>
      </c>
      <c r="H64" s="35">
        <v>395.3</v>
      </c>
      <c r="I64" s="34" t="s">
        <v>45</v>
      </c>
      <c r="J64" s="36" t="s">
        <v>54</v>
      </c>
      <c r="K64" s="37">
        <v>395.3</v>
      </c>
      <c r="L64" s="38">
        <f t="shared" si="12"/>
        <v>0</v>
      </c>
      <c r="M64" s="38"/>
      <c r="N64" s="38"/>
      <c r="O64" s="38"/>
      <c r="P64" s="38"/>
      <c r="Q64" s="39">
        <f t="shared" si="5"/>
        <v>395.3</v>
      </c>
      <c r="R64" s="311"/>
      <c r="S64" s="66" t="str">
        <f t="shared" si="7"/>
        <v>LUC</v>
      </c>
      <c r="T64" s="45"/>
      <c r="U64" s="248"/>
      <c r="V64" s="67"/>
      <c r="W64" s="67"/>
    </row>
    <row r="65" spans="1:23" s="68" customFormat="1" ht="49.5" customHeight="1">
      <c r="A65" s="308"/>
      <c r="B65" s="33" t="s">
        <v>127</v>
      </c>
      <c r="C65" s="77"/>
      <c r="D65" s="77"/>
      <c r="E65" s="78"/>
      <c r="F65" s="34">
        <v>266</v>
      </c>
      <c r="G65" s="34">
        <v>21</v>
      </c>
      <c r="H65" s="35">
        <v>445.8</v>
      </c>
      <c r="I65" s="34" t="s">
        <v>45</v>
      </c>
      <c r="J65" s="36" t="s">
        <v>54</v>
      </c>
      <c r="K65" s="37">
        <f>1056-K64-K63</f>
        <v>241.50000000000006</v>
      </c>
      <c r="L65" s="38">
        <f t="shared" si="12"/>
        <v>204.29999999999995</v>
      </c>
      <c r="M65" s="38"/>
      <c r="N65" s="38"/>
      <c r="O65" s="38"/>
      <c r="P65" s="38"/>
      <c r="Q65" s="39">
        <f t="shared" si="5"/>
        <v>445.8</v>
      </c>
      <c r="R65" s="311"/>
      <c r="S65" s="66" t="str">
        <f t="shared" si="7"/>
        <v>LUC</v>
      </c>
      <c r="T65" s="45"/>
      <c r="U65" s="248"/>
      <c r="V65" s="67"/>
      <c r="W65" s="67"/>
    </row>
    <row r="66" spans="1:23" s="68" customFormat="1" ht="49.5" customHeight="1">
      <c r="A66" s="308"/>
      <c r="B66" s="33" t="s">
        <v>127</v>
      </c>
      <c r="C66" s="36">
        <v>98</v>
      </c>
      <c r="D66" s="36">
        <v>4</v>
      </c>
      <c r="E66" s="239">
        <v>384</v>
      </c>
      <c r="F66" s="34">
        <v>72</v>
      </c>
      <c r="G66" s="34">
        <v>28</v>
      </c>
      <c r="H66" s="35" t="s">
        <v>129</v>
      </c>
      <c r="I66" s="34" t="s">
        <v>45</v>
      </c>
      <c r="J66" s="36" t="s">
        <v>60</v>
      </c>
      <c r="K66" s="37">
        <f t="shared" si="8"/>
        <v>384</v>
      </c>
      <c r="L66" s="38">
        <f>427.9-384</f>
        <v>43.899999999999977</v>
      </c>
      <c r="M66" s="38"/>
      <c r="N66" s="38"/>
      <c r="O66" s="38"/>
      <c r="P66" s="38"/>
      <c r="Q66" s="39">
        <f t="shared" si="5"/>
        <v>427.9</v>
      </c>
      <c r="R66" s="311"/>
      <c r="S66" s="66" t="str">
        <f t="shared" si="7"/>
        <v>LUC</v>
      </c>
      <c r="T66" s="45"/>
      <c r="U66" s="248"/>
      <c r="V66" s="67"/>
      <c r="W66" s="67"/>
    </row>
    <row r="67" spans="1:23" s="68" customFormat="1" ht="49.5" customHeight="1">
      <c r="A67" s="308"/>
      <c r="B67" s="33" t="s">
        <v>127</v>
      </c>
      <c r="C67" s="36">
        <v>201</v>
      </c>
      <c r="D67" s="36">
        <v>4</v>
      </c>
      <c r="E67" s="239">
        <v>360</v>
      </c>
      <c r="F67" s="34">
        <v>524</v>
      </c>
      <c r="G67" s="34">
        <v>28</v>
      </c>
      <c r="H67" s="35" t="s">
        <v>131</v>
      </c>
      <c r="I67" s="34" t="s">
        <v>49</v>
      </c>
      <c r="J67" s="36" t="s">
        <v>57</v>
      </c>
      <c r="K67" s="37">
        <v>314.5</v>
      </c>
      <c r="L67" s="38" t="e">
        <f t="shared" si="12"/>
        <v>#VALUE!</v>
      </c>
      <c r="M67" s="38"/>
      <c r="N67" s="38"/>
      <c r="O67" s="38"/>
      <c r="P67" s="38"/>
      <c r="Q67" s="39" t="e">
        <f t="shared" si="5"/>
        <v>#VALUE!</v>
      </c>
      <c r="R67" s="240"/>
      <c r="S67" s="66" t="str">
        <f t="shared" si="7"/>
        <v>LUK</v>
      </c>
      <c r="T67" s="45"/>
      <c r="U67" s="248"/>
      <c r="V67" s="67"/>
      <c r="W67" s="67"/>
    </row>
    <row r="68" spans="1:23" s="68" customFormat="1" ht="49.5" customHeight="1">
      <c r="A68" s="308"/>
      <c r="B68" s="33" t="s">
        <v>127</v>
      </c>
      <c r="C68" s="36">
        <v>76</v>
      </c>
      <c r="D68" s="36">
        <v>4</v>
      </c>
      <c r="E68" s="239">
        <v>72</v>
      </c>
      <c r="F68" s="34">
        <v>117</v>
      </c>
      <c r="G68" s="34">
        <v>28</v>
      </c>
      <c r="H68" s="35" t="s">
        <v>132</v>
      </c>
      <c r="I68" s="34" t="s">
        <v>55</v>
      </c>
      <c r="J68" s="36" t="s">
        <v>56</v>
      </c>
      <c r="K68" s="37">
        <f t="shared" si="8"/>
        <v>72</v>
      </c>
      <c r="L68" s="38" t="e">
        <f t="shared" si="12"/>
        <v>#VALUE!</v>
      </c>
      <c r="M68" s="38"/>
      <c r="N68" s="38"/>
      <c r="O68" s="38"/>
      <c r="P68" s="38"/>
      <c r="Q68" s="39" t="e">
        <f t="shared" si="5"/>
        <v>#VALUE!</v>
      </c>
      <c r="R68" s="240"/>
      <c r="S68" s="66" t="str">
        <f t="shared" si="7"/>
        <v>BHK</v>
      </c>
      <c r="T68" s="45"/>
      <c r="U68" s="248"/>
      <c r="V68" s="67"/>
      <c r="W68" s="67"/>
    </row>
    <row r="69" spans="1:23" s="68" customFormat="1" ht="49.5" customHeight="1">
      <c r="A69" s="309"/>
      <c r="B69" s="33" t="s">
        <v>127</v>
      </c>
      <c r="C69" s="36"/>
      <c r="D69" s="36"/>
      <c r="E69" s="239"/>
      <c r="F69" s="34">
        <v>223</v>
      </c>
      <c r="G69" s="34">
        <v>28</v>
      </c>
      <c r="H69" s="35" t="s">
        <v>134</v>
      </c>
      <c r="I69" s="34" t="s">
        <v>55</v>
      </c>
      <c r="J69" s="36" t="s">
        <v>50</v>
      </c>
      <c r="K69" s="37"/>
      <c r="L69" s="38" t="e">
        <f t="shared" si="12"/>
        <v>#VALUE!</v>
      </c>
      <c r="M69" s="38"/>
      <c r="N69" s="38"/>
      <c r="O69" s="38"/>
      <c r="P69" s="38"/>
      <c r="Q69" s="39" t="e">
        <f t="shared" si="5"/>
        <v>#VALUE!</v>
      </c>
      <c r="R69" s="94"/>
      <c r="S69" s="66" t="str">
        <f t="shared" si="7"/>
        <v>BHK</v>
      </c>
      <c r="T69" s="45"/>
      <c r="U69" s="248"/>
      <c r="V69" s="67"/>
      <c r="W69" s="67"/>
    </row>
    <row r="70" spans="1:23" s="47" customFormat="1" ht="49.5" customHeight="1">
      <c r="A70" s="151">
        <v>22</v>
      </c>
      <c r="B70" s="33" t="s">
        <v>135</v>
      </c>
      <c r="C70" s="36">
        <v>96</v>
      </c>
      <c r="D70" s="36">
        <v>4</v>
      </c>
      <c r="E70" s="239">
        <v>218</v>
      </c>
      <c r="F70" s="34" t="s">
        <v>136</v>
      </c>
      <c r="G70" s="34" t="s">
        <v>99</v>
      </c>
      <c r="H70" s="35">
        <v>328.7</v>
      </c>
      <c r="I70" s="34" t="s">
        <v>55</v>
      </c>
      <c r="J70" s="69" t="s">
        <v>137</v>
      </c>
      <c r="K70" s="37">
        <f t="shared" ref="K70" si="13">E70</f>
        <v>218</v>
      </c>
      <c r="L70" s="38">
        <f t="shared" si="12"/>
        <v>110.69999999999999</v>
      </c>
      <c r="M70" s="38"/>
      <c r="N70" s="38"/>
      <c r="O70" s="38"/>
      <c r="P70" s="38"/>
      <c r="Q70" s="39">
        <f t="shared" si="5"/>
        <v>328.7</v>
      </c>
      <c r="R70" s="59">
        <f>328.7</f>
        <v>328.7</v>
      </c>
      <c r="S70" s="66" t="str">
        <f t="shared" si="7"/>
        <v>BHK</v>
      </c>
      <c r="T70" s="45"/>
      <c r="U70" s="247"/>
      <c r="V70" s="46"/>
      <c r="W70" s="46"/>
    </row>
    <row r="71" spans="1:23" s="68" customFormat="1" ht="49.5" customHeight="1">
      <c r="A71" s="32">
        <v>23</v>
      </c>
      <c r="B71" s="33" t="s">
        <v>140</v>
      </c>
      <c r="C71" s="36">
        <v>91</v>
      </c>
      <c r="D71" s="36">
        <v>4</v>
      </c>
      <c r="E71" s="239">
        <v>131</v>
      </c>
      <c r="F71" s="34" t="s">
        <v>141</v>
      </c>
      <c r="G71" s="34" t="s">
        <v>99</v>
      </c>
      <c r="H71" s="35">
        <v>279.8</v>
      </c>
      <c r="I71" s="34" t="s">
        <v>55</v>
      </c>
      <c r="J71" s="36" t="s">
        <v>60</v>
      </c>
      <c r="K71" s="37">
        <f t="shared" ref="K71" si="14">E71</f>
        <v>131</v>
      </c>
      <c r="L71" s="38">
        <f>32.8</f>
        <v>32.799999999999997</v>
      </c>
      <c r="M71" s="38"/>
      <c r="N71" s="38"/>
      <c r="O71" s="38"/>
      <c r="P71" s="38"/>
      <c r="Q71" s="39">
        <f t="shared" si="5"/>
        <v>163.80000000000001</v>
      </c>
      <c r="R71" s="63">
        <f>Q71</f>
        <v>163.80000000000001</v>
      </c>
      <c r="S71" s="66" t="str">
        <f t="shared" si="7"/>
        <v>BHK</v>
      </c>
      <c r="T71" s="45"/>
      <c r="U71" s="248"/>
      <c r="V71" s="67"/>
      <c r="W71" s="67"/>
    </row>
    <row r="72" spans="1:23" s="47" customFormat="1" ht="49.5" customHeight="1">
      <c r="A72" s="32">
        <v>24</v>
      </c>
      <c r="B72" s="33" t="s">
        <v>142</v>
      </c>
      <c r="C72" s="36">
        <v>91</v>
      </c>
      <c r="D72" s="36">
        <v>4</v>
      </c>
      <c r="E72" s="239">
        <v>131</v>
      </c>
      <c r="F72" s="34" t="s">
        <v>141</v>
      </c>
      <c r="G72" s="34" t="s">
        <v>99</v>
      </c>
      <c r="H72" s="35">
        <v>279.8</v>
      </c>
      <c r="I72" s="34" t="s">
        <v>55</v>
      </c>
      <c r="J72" s="36" t="s">
        <v>60</v>
      </c>
      <c r="K72" s="37">
        <v>116</v>
      </c>
      <c r="L72" s="38"/>
      <c r="M72" s="38"/>
      <c r="N72" s="38"/>
      <c r="O72" s="38"/>
      <c r="P72" s="38"/>
      <c r="Q72" s="39">
        <f t="shared" si="5"/>
        <v>116</v>
      </c>
      <c r="R72" s="63">
        <f>Q72</f>
        <v>116</v>
      </c>
      <c r="S72" s="66" t="str">
        <f t="shared" si="7"/>
        <v>BHK</v>
      </c>
      <c r="T72" s="45"/>
      <c r="U72" s="247"/>
      <c r="V72" s="46"/>
      <c r="W72" s="46"/>
    </row>
    <row r="73" spans="1:23" s="47" customFormat="1" ht="49.5" customHeight="1">
      <c r="A73" s="32">
        <f t="shared" ref="A73:A76" si="15">IF(B73=B72,A72,A72+1)</f>
        <v>25</v>
      </c>
      <c r="B73" s="33" t="s">
        <v>143</v>
      </c>
      <c r="C73" s="36">
        <v>57</v>
      </c>
      <c r="D73" s="36">
        <v>4</v>
      </c>
      <c r="E73" s="239">
        <v>196</v>
      </c>
      <c r="F73" s="34" t="s">
        <v>144</v>
      </c>
      <c r="G73" s="34" t="s">
        <v>99</v>
      </c>
      <c r="H73" s="35">
        <v>418.9</v>
      </c>
      <c r="I73" s="34" t="s">
        <v>45</v>
      </c>
      <c r="J73" s="36" t="s">
        <v>60</v>
      </c>
      <c r="K73" s="37">
        <f t="shared" si="8"/>
        <v>196</v>
      </c>
      <c r="L73" s="38">
        <f>H73-K73</f>
        <v>222.89999999999998</v>
      </c>
      <c r="M73" s="38"/>
      <c r="N73" s="38"/>
      <c r="O73" s="38"/>
      <c r="P73" s="38"/>
      <c r="Q73" s="39">
        <f t="shared" si="5"/>
        <v>418.9</v>
      </c>
      <c r="R73" s="63">
        <f>Q73</f>
        <v>418.9</v>
      </c>
      <c r="S73" s="66" t="str">
        <f t="shared" si="7"/>
        <v>LUC</v>
      </c>
      <c r="T73" s="45"/>
      <c r="U73" s="247"/>
      <c r="V73" s="46"/>
      <c r="W73" s="46"/>
    </row>
    <row r="74" spans="1:23" s="47" customFormat="1" ht="49.5" customHeight="1">
      <c r="A74" s="32">
        <f t="shared" si="15"/>
        <v>26</v>
      </c>
      <c r="B74" s="33" t="s">
        <v>145</v>
      </c>
      <c r="C74" s="36">
        <v>95</v>
      </c>
      <c r="D74" s="36">
        <v>4</v>
      </c>
      <c r="E74" s="239">
        <v>153</v>
      </c>
      <c r="F74" s="34" t="s">
        <v>146</v>
      </c>
      <c r="G74" s="34" t="s">
        <v>99</v>
      </c>
      <c r="H74" s="35">
        <v>178.5</v>
      </c>
      <c r="I74" s="34" t="s">
        <v>55</v>
      </c>
      <c r="J74" s="36" t="s">
        <v>60</v>
      </c>
      <c r="K74" s="37">
        <f t="shared" si="8"/>
        <v>153</v>
      </c>
      <c r="L74" s="38">
        <f>H74-K74</f>
        <v>25.5</v>
      </c>
      <c r="M74" s="38"/>
      <c r="N74" s="38"/>
      <c r="O74" s="38"/>
      <c r="P74" s="38"/>
      <c r="Q74" s="39">
        <f t="shared" si="5"/>
        <v>178.5</v>
      </c>
      <c r="R74" s="310">
        <f>SUM(Q74:Q75)</f>
        <v>408.7</v>
      </c>
      <c r="S74" s="66" t="str">
        <f t="shared" si="7"/>
        <v>BHK</v>
      </c>
      <c r="T74" s="45"/>
      <c r="U74" s="247"/>
      <c r="V74" s="46"/>
      <c r="W74" s="46"/>
    </row>
    <row r="75" spans="1:23" s="47" customFormat="1" ht="69" customHeight="1">
      <c r="A75" s="32">
        <f t="shared" si="15"/>
        <v>27</v>
      </c>
      <c r="B75" s="33" t="s">
        <v>147</v>
      </c>
      <c r="C75" s="36">
        <v>95</v>
      </c>
      <c r="D75" s="36">
        <v>4</v>
      </c>
      <c r="E75" s="239">
        <v>196</v>
      </c>
      <c r="F75" s="34" t="s">
        <v>148</v>
      </c>
      <c r="G75" s="34" t="s">
        <v>99</v>
      </c>
      <c r="H75" s="35">
        <v>230.2</v>
      </c>
      <c r="I75" s="34" t="s">
        <v>55</v>
      </c>
      <c r="J75" s="36" t="s">
        <v>60</v>
      </c>
      <c r="K75" s="37">
        <f t="shared" si="8"/>
        <v>196</v>
      </c>
      <c r="L75" s="38">
        <f>H75-K75</f>
        <v>34.199999999999989</v>
      </c>
      <c r="M75" s="38"/>
      <c r="N75" s="38"/>
      <c r="O75" s="38"/>
      <c r="P75" s="38"/>
      <c r="Q75" s="39">
        <f t="shared" si="5"/>
        <v>230.2</v>
      </c>
      <c r="R75" s="312"/>
      <c r="S75" s="66" t="str">
        <f t="shared" si="7"/>
        <v>BHK</v>
      </c>
      <c r="T75" s="45"/>
      <c r="U75" s="247"/>
      <c r="V75" s="46"/>
      <c r="W75" s="46"/>
    </row>
    <row r="76" spans="1:23" s="47" customFormat="1" ht="49.5" customHeight="1">
      <c r="A76" s="32">
        <f t="shared" si="15"/>
        <v>28</v>
      </c>
      <c r="B76" s="33" t="s">
        <v>149</v>
      </c>
      <c r="C76" s="36"/>
      <c r="D76" s="36"/>
      <c r="E76" s="239"/>
      <c r="F76" s="70" t="s">
        <v>150</v>
      </c>
      <c r="G76" s="48" t="s">
        <v>96</v>
      </c>
      <c r="H76" s="71">
        <v>194.9</v>
      </c>
      <c r="I76" s="34" t="s">
        <v>45</v>
      </c>
      <c r="J76" s="36" t="s">
        <v>54</v>
      </c>
      <c r="K76" s="37"/>
      <c r="L76" s="38">
        <v>159.9</v>
      </c>
      <c r="M76" s="38"/>
      <c r="N76" s="38"/>
      <c r="O76" s="38">
        <f>194.9-159.9</f>
        <v>35</v>
      </c>
      <c r="P76" s="38"/>
      <c r="Q76" s="39">
        <f t="shared" si="5"/>
        <v>194.9</v>
      </c>
      <c r="R76" s="59">
        <f>SUM(Q76:Q76)</f>
        <v>194.9</v>
      </c>
      <c r="S76" s="66" t="str">
        <f t="shared" si="7"/>
        <v>LUC</v>
      </c>
      <c r="T76" s="45"/>
      <c r="U76" s="247"/>
      <c r="V76" s="46"/>
      <c r="W76" s="46"/>
    </row>
    <row r="77" spans="1:23" s="47" customFormat="1" ht="49.5" customHeight="1">
      <c r="A77" s="307">
        <v>29</v>
      </c>
      <c r="B77" s="33" t="s">
        <v>151</v>
      </c>
      <c r="C77" s="36">
        <v>212</v>
      </c>
      <c r="D77" s="36">
        <v>4</v>
      </c>
      <c r="E77" s="239">
        <v>360</v>
      </c>
      <c r="F77" s="34" t="s">
        <v>152</v>
      </c>
      <c r="G77" s="34" t="s">
        <v>99</v>
      </c>
      <c r="H77" s="35">
        <v>376.8</v>
      </c>
      <c r="I77" s="34" t="s">
        <v>49</v>
      </c>
      <c r="J77" s="36" t="s">
        <v>57</v>
      </c>
      <c r="K77" s="37">
        <v>78.3</v>
      </c>
      <c r="L77" s="38"/>
      <c r="M77" s="38"/>
      <c r="N77" s="38"/>
      <c r="O77" s="38"/>
      <c r="P77" s="38"/>
      <c r="Q77" s="39">
        <f t="shared" ref="Q77:Q117" si="16">K77+L77+N77+O77+M77</f>
        <v>78.3</v>
      </c>
      <c r="R77" s="310">
        <f>SUM(Q77:Q78)</f>
        <v>368.40000000000003</v>
      </c>
      <c r="S77" s="66" t="str">
        <f t="shared" si="7"/>
        <v>LUK</v>
      </c>
      <c r="T77" s="45"/>
      <c r="U77" s="247"/>
      <c r="V77" s="46"/>
      <c r="W77" s="46"/>
    </row>
    <row r="78" spans="1:23" s="47" customFormat="1" ht="49.5" customHeight="1">
      <c r="A78" s="309"/>
      <c r="B78" s="33" t="s">
        <v>151</v>
      </c>
      <c r="C78" s="36">
        <v>25</v>
      </c>
      <c r="D78" s="36">
        <v>4</v>
      </c>
      <c r="E78" s="239">
        <v>360</v>
      </c>
      <c r="F78" s="34" t="s">
        <v>153</v>
      </c>
      <c r="G78" s="34" t="s">
        <v>99</v>
      </c>
      <c r="H78" s="35">
        <v>290.10000000000002</v>
      </c>
      <c r="I78" s="34" t="s">
        <v>45</v>
      </c>
      <c r="J78" s="36" t="s">
        <v>54</v>
      </c>
      <c r="K78" s="37">
        <v>279.89999999999998</v>
      </c>
      <c r="L78" s="38">
        <f t="shared" ref="L78" si="17">H78-K78</f>
        <v>10.200000000000045</v>
      </c>
      <c r="M78" s="38"/>
      <c r="N78" s="38"/>
      <c r="O78" s="38"/>
      <c r="P78" s="38"/>
      <c r="Q78" s="39">
        <f t="shared" si="16"/>
        <v>290.10000000000002</v>
      </c>
      <c r="R78" s="312"/>
      <c r="S78" s="66" t="str">
        <f t="shared" si="7"/>
        <v>LUC</v>
      </c>
      <c r="T78" s="45"/>
      <c r="U78" s="247"/>
      <c r="V78" s="46"/>
      <c r="W78" s="46"/>
    </row>
    <row r="79" spans="1:23" s="68" customFormat="1" ht="49.5" customHeight="1">
      <c r="A79" s="307">
        <v>30</v>
      </c>
      <c r="B79" s="33" t="s">
        <v>155</v>
      </c>
      <c r="C79" s="36"/>
      <c r="D79" s="36"/>
      <c r="E79" s="239"/>
      <c r="F79" s="34" t="s">
        <v>156</v>
      </c>
      <c r="G79" s="34" t="s">
        <v>99</v>
      </c>
      <c r="H79" s="35">
        <v>95.5</v>
      </c>
      <c r="I79" s="34" t="s">
        <v>49</v>
      </c>
      <c r="J79" s="36" t="s">
        <v>50</v>
      </c>
      <c r="K79" s="37"/>
      <c r="L79" s="38"/>
      <c r="M79" s="38">
        <v>95.5</v>
      </c>
      <c r="N79" s="38"/>
      <c r="O79" s="38"/>
      <c r="P79" s="38"/>
      <c r="Q79" s="39">
        <f t="shared" si="16"/>
        <v>95.5</v>
      </c>
      <c r="R79" s="310">
        <f>SUM(Q79:Q81)</f>
        <v>306.5</v>
      </c>
      <c r="S79" s="66" t="s">
        <v>553</v>
      </c>
      <c r="T79" s="45"/>
      <c r="U79" s="248"/>
      <c r="V79" s="67"/>
      <c r="W79" s="67"/>
    </row>
    <row r="80" spans="1:23" s="68" customFormat="1" ht="49.5" customHeight="1">
      <c r="A80" s="308"/>
      <c r="B80" s="33" t="s">
        <v>155</v>
      </c>
      <c r="C80" s="36">
        <v>107</v>
      </c>
      <c r="D80" s="36">
        <v>5</v>
      </c>
      <c r="E80" s="239">
        <v>192</v>
      </c>
      <c r="F80" s="34" t="s">
        <v>158</v>
      </c>
      <c r="G80" s="34" t="s">
        <v>159</v>
      </c>
      <c r="H80" s="35">
        <v>202.5</v>
      </c>
      <c r="I80" s="34" t="s">
        <v>49</v>
      </c>
      <c r="J80" s="36" t="s">
        <v>50</v>
      </c>
      <c r="K80" s="37">
        <v>79.8</v>
      </c>
      <c r="L80" s="38"/>
      <c r="M80" s="38"/>
      <c r="N80" s="38"/>
      <c r="O80" s="38"/>
      <c r="P80" s="38"/>
      <c r="Q80" s="39">
        <f t="shared" si="16"/>
        <v>79.8</v>
      </c>
      <c r="R80" s="311"/>
      <c r="S80" s="66" t="str">
        <f>I80</f>
        <v>LUK</v>
      </c>
      <c r="T80" s="45"/>
      <c r="U80" s="248"/>
      <c r="V80" s="67"/>
      <c r="W80" s="67"/>
    </row>
    <row r="81" spans="1:23" s="68" customFormat="1" ht="49.5" customHeight="1">
      <c r="A81" s="308"/>
      <c r="B81" s="33" t="s">
        <v>155</v>
      </c>
      <c r="C81" s="36"/>
      <c r="D81" s="36"/>
      <c r="E81" s="239"/>
      <c r="F81" s="34" t="s">
        <v>160</v>
      </c>
      <c r="G81" s="34" t="s">
        <v>99</v>
      </c>
      <c r="H81" s="35">
        <v>131.19999999999999</v>
      </c>
      <c r="I81" s="34" t="s">
        <v>49</v>
      </c>
      <c r="J81" s="36" t="s">
        <v>50</v>
      </c>
      <c r="K81" s="37"/>
      <c r="L81" s="38"/>
      <c r="M81" s="38">
        <v>131.19999999999999</v>
      </c>
      <c r="N81" s="38"/>
      <c r="O81" s="38"/>
      <c r="P81" s="38"/>
      <c r="Q81" s="39">
        <f t="shared" si="16"/>
        <v>131.19999999999999</v>
      </c>
      <c r="R81" s="311"/>
      <c r="S81" s="66" t="s">
        <v>553</v>
      </c>
      <c r="T81" s="45"/>
      <c r="U81" s="248"/>
      <c r="V81" s="67"/>
      <c r="W81" s="67"/>
    </row>
    <row r="82" spans="1:23" s="68" customFormat="1" ht="49.5" customHeight="1">
      <c r="A82" s="307">
        <v>31</v>
      </c>
      <c r="B82" s="33" t="s">
        <v>161</v>
      </c>
      <c r="C82" s="36">
        <v>52</v>
      </c>
      <c r="D82" s="36">
        <v>4</v>
      </c>
      <c r="E82" s="239">
        <v>528</v>
      </c>
      <c r="F82" s="79" t="s">
        <v>162</v>
      </c>
      <c r="G82" s="79" t="s">
        <v>99</v>
      </c>
      <c r="H82" s="80">
        <v>1196.8</v>
      </c>
      <c r="I82" s="79" t="s">
        <v>45</v>
      </c>
      <c r="J82" s="72" t="s">
        <v>163</v>
      </c>
      <c r="K82" s="37">
        <f t="shared" ref="K82:K103" si="18">E82</f>
        <v>528</v>
      </c>
      <c r="L82" s="38">
        <f>1148.9-528-240</f>
        <v>380.90000000000009</v>
      </c>
      <c r="M82" s="38"/>
      <c r="N82" s="38"/>
      <c r="O82" s="38">
        <f>1196.8-1148.9</f>
        <v>47.899999999999864</v>
      </c>
      <c r="P82" s="38"/>
      <c r="Q82" s="39">
        <f t="shared" si="16"/>
        <v>956.8</v>
      </c>
      <c r="R82" s="310">
        <f>SUM(Q82:Q84)</f>
        <v>1742.3999999999999</v>
      </c>
      <c r="S82" s="66" t="str">
        <f t="shared" ref="S82:S98" si="19">I82</f>
        <v>LUC</v>
      </c>
      <c r="T82" s="45"/>
      <c r="U82" s="248"/>
      <c r="V82" s="67"/>
      <c r="W82" s="67"/>
    </row>
    <row r="83" spans="1:23" s="68" customFormat="1" ht="49.5" customHeight="1">
      <c r="A83" s="308"/>
      <c r="B83" s="33" t="s">
        <v>161</v>
      </c>
      <c r="C83" s="36">
        <v>99</v>
      </c>
      <c r="D83" s="36">
        <v>4</v>
      </c>
      <c r="E83" s="239">
        <v>576</v>
      </c>
      <c r="F83" s="34" t="s">
        <v>165</v>
      </c>
      <c r="G83" s="34" t="s">
        <v>99</v>
      </c>
      <c r="H83" s="35">
        <v>555.9</v>
      </c>
      <c r="I83" s="34" t="s">
        <v>45</v>
      </c>
      <c r="J83" s="36" t="s">
        <v>60</v>
      </c>
      <c r="K83" s="37">
        <v>555.9</v>
      </c>
      <c r="L83" s="38">
        <f>H83-K83</f>
        <v>0</v>
      </c>
      <c r="M83" s="38"/>
      <c r="N83" s="38"/>
      <c r="O83" s="38"/>
      <c r="P83" s="38"/>
      <c r="Q83" s="39">
        <f t="shared" si="16"/>
        <v>555.9</v>
      </c>
      <c r="R83" s="311"/>
      <c r="S83" s="66" t="str">
        <f t="shared" si="19"/>
        <v>LUC</v>
      </c>
      <c r="T83" s="45"/>
      <c r="U83" s="248"/>
      <c r="V83" s="67"/>
      <c r="W83" s="67"/>
    </row>
    <row r="84" spans="1:23" s="68" customFormat="1" ht="49.5" customHeight="1">
      <c r="A84" s="309"/>
      <c r="B84" s="33" t="s">
        <v>161</v>
      </c>
      <c r="C84" s="36">
        <v>125</v>
      </c>
      <c r="D84" s="36">
        <v>5</v>
      </c>
      <c r="E84" s="239">
        <v>192</v>
      </c>
      <c r="F84" s="34" t="s">
        <v>166</v>
      </c>
      <c r="G84" s="34" t="s">
        <v>99</v>
      </c>
      <c r="H84" s="35">
        <v>229.7</v>
      </c>
      <c r="I84" s="34" t="s">
        <v>49</v>
      </c>
      <c r="J84" s="36" t="s">
        <v>50</v>
      </c>
      <c r="K84" s="37">
        <f t="shared" si="18"/>
        <v>192</v>
      </c>
      <c r="L84" s="38">
        <f>H84-K84</f>
        <v>37.699999999999989</v>
      </c>
      <c r="M84" s="38"/>
      <c r="N84" s="38"/>
      <c r="O84" s="38"/>
      <c r="P84" s="38"/>
      <c r="Q84" s="39">
        <f t="shared" si="16"/>
        <v>229.7</v>
      </c>
      <c r="R84" s="312"/>
      <c r="S84" s="66" t="str">
        <f t="shared" si="19"/>
        <v>LUK</v>
      </c>
      <c r="T84" s="45"/>
      <c r="U84" s="248"/>
      <c r="V84" s="67"/>
      <c r="W84" s="67"/>
    </row>
    <row r="85" spans="1:23" s="68" customFormat="1" ht="64.5" customHeight="1">
      <c r="A85" s="151">
        <v>32</v>
      </c>
      <c r="B85" s="33" t="s">
        <v>167</v>
      </c>
      <c r="C85" s="36">
        <v>52</v>
      </c>
      <c r="D85" s="36">
        <v>4</v>
      </c>
      <c r="E85" s="239">
        <v>240</v>
      </c>
      <c r="F85" s="79" t="s">
        <v>162</v>
      </c>
      <c r="G85" s="79" t="s">
        <v>99</v>
      </c>
      <c r="H85" s="80">
        <v>1196.8</v>
      </c>
      <c r="I85" s="79" t="s">
        <v>45</v>
      </c>
      <c r="J85" s="72" t="s">
        <v>163</v>
      </c>
      <c r="K85" s="37">
        <f t="shared" si="18"/>
        <v>240</v>
      </c>
      <c r="L85" s="38"/>
      <c r="M85" s="38"/>
      <c r="N85" s="38"/>
      <c r="O85" s="38"/>
      <c r="P85" s="38"/>
      <c r="Q85" s="39">
        <f t="shared" si="16"/>
        <v>240</v>
      </c>
      <c r="R85" s="59">
        <f>240</f>
        <v>240</v>
      </c>
      <c r="S85" s="66" t="str">
        <f t="shared" si="19"/>
        <v>LUC</v>
      </c>
      <c r="T85" s="45"/>
      <c r="U85" s="248"/>
      <c r="V85" s="67"/>
      <c r="W85" s="67"/>
    </row>
    <row r="86" spans="1:23" s="47" customFormat="1" ht="49.5" customHeight="1">
      <c r="A86" s="307">
        <v>33</v>
      </c>
      <c r="B86" s="33" t="s">
        <v>171</v>
      </c>
      <c r="C86" s="36">
        <v>187</v>
      </c>
      <c r="D86" s="36">
        <v>5</v>
      </c>
      <c r="E86" s="239">
        <v>144</v>
      </c>
      <c r="F86" s="34" t="s">
        <v>172</v>
      </c>
      <c r="G86" s="34" t="s">
        <v>99</v>
      </c>
      <c r="H86" s="35">
        <v>160.1</v>
      </c>
      <c r="I86" s="34" t="s">
        <v>45</v>
      </c>
      <c r="J86" s="36" t="s">
        <v>57</v>
      </c>
      <c r="K86" s="37">
        <f t="shared" si="18"/>
        <v>144</v>
      </c>
      <c r="L86" s="38">
        <f t="shared" ref="L86:L92" si="20">H86-K86</f>
        <v>16.099999999999994</v>
      </c>
      <c r="M86" s="38"/>
      <c r="N86" s="38"/>
      <c r="O86" s="38"/>
      <c r="P86" s="38"/>
      <c r="Q86" s="39">
        <f t="shared" si="16"/>
        <v>160.1</v>
      </c>
      <c r="R86" s="310">
        <f>SUM(Q86:Q88)</f>
        <v>486.3</v>
      </c>
      <c r="S86" s="66" t="str">
        <f t="shared" si="19"/>
        <v>LUC</v>
      </c>
      <c r="T86" s="45"/>
      <c r="U86" s="247"/>
      <c r="V86" s="46"/>
      <c r="W86" s="46"/>
    </row>
    <row r="87" spans="1:23" s="47" customFormat="1" ht="49.5" customHeight="1">
      <c r="A87" s="308"/>
      <c r="B87" s="33" t="s">
        <v>171</v>
      </c>
      <c r="C87" s="36">
        <v>219</v>
      </c>
      <c r="D87" s="36">
        <v>4</v>
      </c>
      <c r="E87" s="239">
        <v>240</v>
      </c>
      <c r="F87" s="34">
        <v>381</v>
      </c>
      <c r="G87" s="34">
        <v>28</v>
      </c>
      <c r="H87" s="35">
        <v>192.9</v>
      </c>
      <c r="I87" s="34" t="s">
        <v>49</v>
      </c>
      <c r="J87" s="36" t="s">
        <v>57</v>
      </c>
      <c r="K87" s="37">
        <v>192</v>
      </c>
      <c r="L87" s="38">
        <f t="shared" si="20"/>
        <v>0.90000000000000568</v>
      </c>
      <c r="M87" s="38"/>
      <c r="N87" s="38"/>
      <c r="O87" s="38"/>
      <c r="P87" s="38"/>
      <c r="Q87" s="39">
        <f t="shared" si="16"/>
        <v>192.9</v>
      </c>
      <c r="R87" s="311"/>
      <c r="S87" s="66" t="str">
        <f t="shared" si="19"/>
        <v>LUK</v>
      </c>
      <c r="T87" s="45"/>
      <c r="U87" s="247"/>
      <c r="V87" s="46"/>
      <c r="W87" s="46"/>
    </row>
    <row r="88" spans="1:23" s="47" customFormat="1" ht="49.5" customHeight="1">
      <c r="A88" s="309"/>
      <c r="B88" s="33" t="s">
        <v>171</v>
      </c>
      <c r="C88" s="36">
        <v>105</v>
      </c>
      <c r="D88" s="36">
        <v>5</v>
      </c>
      <c r="E88" s="239">
        <v>132</v>
      </c>
      <c r="F88" s="34">
        <v>860</v>
      </c>
      <c r="G88" s="34">
        <v>28</v>
      </c>
      <c r="H88" s="35">
        <v>133.30000000000001</v>
      </c>
      <c r="I88" s="34" t="s">
        <v>49</v>
      </c>
      <c r="J88" s="36" t="s">
        <v>50</v>
      </c>
      <c r="K88" s="37">
        <f t="shared" si="18"/>
        <v>132</v>
      </c>
      <c r="L88" s="38">
        <f t="shared" si="20"/>
        <v>1.3000000000000114</v>
      </c>
      <c r="M88" s="38"/>
      <c r="N88" s="38"/>
      <c r="O88" s="38"/>
      <c r="P88" s="38"/>
      <c r="Q88" s="39">
        <f t="shared" si="16"/>
        <v>133.30000000000001</v>
      </c>
      <c r="R88" s="312"/>
      <c r="S88" s="66" t="str">
        <f t="shared" si="19"/>
        <v>LUK</v>
      </c>
      <c r="T88" s="45"/>
      <c r="U88" s="247"/>
      <c r="V88" s="46"/>
      <c r="W88" s="46"/>
    </row>
    <row r="89" spans="1:23" s="47" customFormat="1" ht="54.75" customHeight="1">
      <c r="A89" s="307">
        <v>34</v>
      </c>
      <c r="B89" s="33" t="s">
        <v>176</v>
      </c>
      <c r="C89" s="36">
        <v>108</v>
      </c>
      <c r="D89" s="36">
        <v>5</v>
      </c>
      <c r="E89" s="239">
        <v>144</v>
      </c>
      <c r="F89" s="34" t="s">
        <v>177</v>
      </c>
      <c r="G89" s="34" t="s">
        <v>99</v>
      </c>
      <c r="H89" s="35">
        <v>178.3</v>
      </c>
      <c r="I89" s="34" t="s">
        <v>49</v>
      </c>
      <c r="J89" s="36" t="s">
        <v>50</v>
      </c>
      <c r="K89" s="37">
        <f t="shared" si="18"/>
        <v>144</v>
      </c>
      <c r="L89" s="38">
        <f t="shared" si="20"/>
        <v>34.300000000000011</v>
      </c>
      <c r="M89" s="38"/>
      <c r="N89" s="38"/>
      <c r="O89" s="38"/>
      <c r="P89" s="38"/>
      <c r="Q89" s="39">
        <f t="shared" si="16"/>
        <v>178.3</v>
      </c>
      <c r="R89" s="310">
        <f>SUM(Q89:Q93)</f>
        <v>1023.1999999999999</v>
      </c>
      <c r="S89" s="66" t="str">
        <f t="shared" si="19"/>
        <v>LUK</v>
      </c>
      <c r="T89" s="45"/>
      <c r="U89" s="247"/>
      <c r="V89" s="46"/>
      <c r="W89" s="46"/>
    </row>
    <row r="90" spans="1:23" s="47" customFormat="1" ht="54.75" customHeight="1">
      <c r="A90" s="308"/>
      <c r="B90" s="33" t="s">
        <v>176</v>
      </c>
      <c r="C90" s="36">
        <v>128</v>
      </c>
      <c r="D90" s="36">
        <v>5</v>
      </c>
      <c r="E90" s="239">
        <v>180</v>
      </c>
      <c r="F90" s="34" t="s">
        <v>179</v>
      </c>
      <c r="G90" s="34" t="s">
        <v>159</v>
      </c>
      <c r="H90" s="35">
        <v>177.7</v>
      </c>
      <c r="I90" s="34" t="s">
        <v>49</v>
      </c>
      <c r="J90" s="36" t="s">
        <v>50</v>
      </c>
      <c r="K90" s="37">
        <v>177.7</v>
      </c>
      <c r="L90" s="38"/>
      <c r="M90" s="38"/>
      <c r="N90" s="38"/>
      <c r="O90" s="38"/>
      <c r="P90" s="38"/>
      <c r="Q90" s="39">
        <f t="shared" si="16"/>
        <v>177.7</v>
      </c>
      <c r="R90" s="311"/>
      <c r="S90" s="66" t="str">
        <f t="shared" si="19"/>
        <v>LUK</v>
      </c>
      <c r="T90" s="45"/>
      <c r="U90" s="247"/>
      <c r="V90" s="46"/>
      <c r="W90" s="46"/>
    </row>
    <row r="91" spans="1:23" s="47" customFormat="1" ht="54.75" customHeight="1">
      <c r="A91" s="308"/>
      <c r="B91" s="33" t="s">
        <v>176</v>
      </c>
      <c r="C91" s="36">
        <v>179</v>
      </c>
      <c r="D91" s="36">
        <v>5</v>
      </c>
      <c r="E91" s="239">
        <v>240</v>
      </c>
      <c r="F91" s="34" t="s">
        <v>180</v>
      </c>
      <c r="G91" s="34" t="s">
        <v>99</v>
      </c>
      <c r="H91" s="35">
        <v>266.89999999999998</v>
      </c>
      <c r="I91" s="34" t="s">
        <v>49</v>
      </c>
      <c r="J91" s="36" t="s">
        <v>74</v>
      </c>
      <c r="K91" s="37">
        <f t="shared" si="18"/>
        <v>240</v>
      </c>
      <c r="L91" s="38">
        <f t="shared" si="20"/>
        <v>26.899999999999977</v>
      </c>
      <c r="M91" s="38"/>
      <c r="N91" s="38"/>
      <c r="O91" s="38"/>
      <c r="P91" s="38"/>
      <c r="Q91" s="39">
        <f t="shared" si="16"/>
        <v>266.89999999999998</v>
      </c>
      <c r="R91" s="311"/>
      <c r="S91" s="66" t="str">
        <f t="shared" si="19"/>
        <v>LUK</v>
      </c>
      <c r="T91" s="45"/>
      <c r="U91" s="247"/>
      <c r="V91" s="46"/>
      <c r="W91" s="46"/>
    </row>
    <row r="92" spans="1:23" s="47" customFormat="1" ht="54.75" customHeight="1">
      <c r="A92" s="308"/>
      <c r="B92" s="33" t="s">
        <v>176</v>
      </c>
      <c r="C92" s="36">
        <v>81</v>
      </c>
      <c r="D92" s="36">
        <v>4</v>
      </c>
      <c r="E92" s="239">
        <v>360</v>
      </c>
      <c r="F92" s="34" t="s">
        <v>181</v>
      </c>
      <c r="G92" s="34" t="s">
        <v>99</v>
      </c>
      <c r="H92" s="35">
        <v>373</v>
      </c>
      <c r="I92" s="34" t="s">
        <v>45</v>
      </c>
      <c r="J92" s="36" t="s">
        <v>60</v>
      </c>
      <c r="K92" s="37">
        <f t="shared" si="18"/>
        <v>360</v>
      </c>
      <c r="L92" s="38">
        <f t="shared" si="20"/>
        <v>13</v>
      </c>
      <c r="M92" s="38"/>
      <c r="N92" s="38"/>
      <c r="O92" s="38"/>
      <c r="P92" s="38"/>
      <c r="Q92" s="39">
        <f t="shared" si="16"/>
        <v>373</v>
      </c>
      <c r="R92" s="311"/>
      <c r="S92" s="66" t="str">
        <f t="shared" si="19"/>
        <v>LUC</v>
      </c>
      <c r="T92" s="45"/>
      <c r="U92" s="247"/>
      <c r="V92" s="46"/>
      <c r="W92" s="46"/>
    </row>
    <row r="93" spans="1:23" s="47" customFormat="1" ht="54.75" customHeight="1">
      <c r="A93" s="309"/>
      <c r="B93" s="33" t="s">
        <v>176</v>
      </c>
      <c r="C93" s="36">
        <v>179</v>
      </c>
      <c r="D93" s="36">
        <v>5</v>
      </c>
      <c r="E93" s="239">
        <v>240</v>
      </c>
      <c r="F93" s="34" t="s">
        <v>183</v>
      </c>
      <c r="G93" s="34" t="s">
        <v>99</v>
      </c>
      <c r="H93" s="35">
        <v>240.5</v>
      </c>
      <c r="I93" s="34" t="s">
        <v>49</v>
      </c>
      <c r="J93" s="36" t="s">
        <v>57</v>
      </c>
      <c r="K93" s="37">
        <v>27.3</v>
      </c>
      <c r="L93" s="38"/>
      <c r="M93" s="38"/>
      <c r="N93" s="38"/>
      <c r="O93" s="38"/>
      <c r="P93" s="38"/>
      <c r="Q93" s="39">
        <f t="shared" si="16"/>
        <v>27.3</v>
      </c>
      <c r="R93" s="312"/>
      <c r="S93" s="66" t="str">
        <f t="shared" si="19"/>
        <v>LUK</v>
      </c>
      <c r="T93" s="45"/>
      <c r="U93" s="247"/>
      <c r="V93" s="46"/>
      <c r="W93" s="46"/>
    </row>
    <row r="94" spans="1:23" s="68" customFormat="1" ht="56.25" customHeight="1">
      <c r="A94" s="307">
        <v>35</v>
      </c>
      <c r="B94" s="33" t="s">
        <v>184</v>
      </c>
      <c r="C94" s="36">
        <v>83</v>
      </c>
      <c r="D94" s="36">
        <v>4</v>
      </c>
      <c r="E94" s="239">
        <v>504</v>
      </c>
      <c r="F94" s="34" t="s">
        <v>185</v>
      </c>
      <c r="G94" s="34" t="s">
        <v>99</v>
      </c>
      <c r="H94" s="35">
        <v>567.79999999999995</v>
      </c>
      <c r="I94" s="34" t="s">
        <v>45</v>
      </c>
      <c r="J94" s="36" t="s">
        <v>60</v>
      </c>
      <c r="K94" s="37">
        <v>504</v>
      </c>
      <c r="L94" s="38">
        <f>506.1-504</f>
        <v>2.1000000000000227</v>
      </c>
      <c r="M94" s="38"/>
      <c r="N94" s="38"/>
      <c r="O94" s="38"/>
      <c r="P94" s="38"/>
      <c r="Q94" s="39">
        <f t="shared" si="16"/>
        <v>506.1</v>
      </c>
      <c r="R94" s="310">
        <f>SUM(Q94:Q95)</f>
        <v>519.9</v>
      </c>
      <c r="S94" s="66" t="str">
        <f t="shared" si="19"/>
        <v>LUC</v>
      </c>
      <c r="T94" s="45"/>
      <c r="U94" s="248"/>
      <c r="V94" s="67"/>
      <c r="W94" s="67"/>
    </row>
    <row r="95" spans="1:23" s="68" customFormat="1" ht="56.25" customHeight="1">
      <c r="A95" s="309"/>
      <c r="B95" s="33" t="s">
        <v>184</v>
      </c>
      <c r="C95" s="36"/>
      <c r="D95" s="36"/>
      <c r="E95" s="239"/>
      <c r="F95" s="34">
        <v>197</v>
      </c>
      <c r="G95" s="34" t="s">
        <v>99</v>
      </c>
      <c r="H95" s="35">
        <v>900.7</v>
      </c>
      <c r="I95" s="34" t="s">
        <v>45</v>
      </c>
      <c r="J95" s="36" t="s">
        <v>60</v>
      </c>
      <c r="K95" s="37"/>
      <c r="L95" s="38">
        <v>13.8</v>
      </c>
      <c r="M95" s="38"/>
      <c r="N95" s="38"/>
      <c r="O95" s="38"/>
      <c r="P95" s="38"/>
      <c r="Q95" s="39">
        <f t="shared" si="16"/>
        <v>13.8</v>
      </c>
      <c r="R95" s="312"/>
      <c r="S95" s="66" t="str">
        <f t="shared" si="19"/>
        <v>LUC</v>
      </c>
      <c r="T95" s="45"/>
      <c r="U95" s="248"/>
      <c r="V95" s="67"/>
      <c r="W95" s="67"/>
    </row>
    <row r="96" spans="1:23" s="68" customFormat="1" ht="56.25" customHeight="1">
      <c r="A96" s="307">
        <v>36</v>
      </c>
      <c r="B96" s="33" t="s">
        <v>186</v>
      </c>
      <c r="C96" s="72">
        <v>98</v>
      </c>
      <c r="D96" s="72">
        <v>4</v>
      </c>
      <c r="E96" s="73">
        <v>360</v>
      </c>
      <c r="F96" s="34" t="s">
        <v>187</v>
      </c>
      <c r="G96" s="34" t="s">
        <v>99</v>
      </c>
      <c r="H96" s="35">
        <v>373.1</v>
      </c>
      <c r="I96" s="34" t="s">
        <v>45</v>
      </c>
      <c r="J96" s="36" t="s">
        <v>60</v>
      </c>
      <c r="K96" s="37">
        <v>326.7</v>
      </c>
      <c r="L96" s="38"/>
      <c r="M96" s="38"/>
      <c r="N96" s="38"/>
      <c r="O96" s="38"/>
      <c r="P96" s="38"/>
      <c r="Q96" s="39">
        <f t="shared" si="16"/>
        <v>326.7</v>
      </c>
      <c r="R96" s="310">
        <f>SUM(Q96:Q100)</f>
        <v>866</v>
      </c>
      <c r="S96" s="66" t="str">
        <f t="shared" si="19"/>
        <v>LUC</v>
      </c>
      <c r="T96" s="45"/>
      <c r="U96" s="248"/>
      <c r="V96" s="67"/>
      <c r="W96" s="67"/>
    </row>
    <row r="97" spans="1:23" s="68" customFormat="1" ht="56.25" customHeight="1">
      <c r="A97" s="308"/>
      <c r="B97" s="33" t="s">
        <v>186</v>
      </c>
      <c r="C97" s="77"/>
      <c r="D97" s="77"/>
      <c r="E97" s="78"/>
      <c r="F97" s="34">
        <v>72</v>
      </c>
      <c r="G97" s="34">
        <v>28</v>
      </c>
      <c r="H97" s="35">
        <v>502.3</v>
      </c>
      <c r="I97" s="34" t="s">
        <v>45</v>
      </c>
      <c r="J97" s="36" t="s">
        <v>60</v>
      </c>
      <c r="K97" s="37">
        <f>360-326.7</f>
        <v>33.300000000000011</v>
      </c>
      <c r="L97" s="38">
        <f>74.4-33.3</f>
        <v>41.100000000000009</v>
      </c>
      <c r="M97" s="38"/>
      <c r="N97" s="38"/>
      <c r="O97" s="38"/>
      <c r="P97" s="38"/>
      <c r="Q97" s="39">
        <f t="shared" si="16"/>
        <v>74.40000000000002</v>
      </c>
      <c r="R97" s="311"/>
      <c r="S97" s="66" t="str">
        <f t="shared" si="19"/>
        <v>LUC</v>
      </c>
      <c r="T97" s="45"/>
      <c r="U97" s="248"/>
      <c r="V97" s="67"/>
      <c r="W97" s="67"/>
    </row>
    <row r="98" spans="1:23" s="68" customFormat="1" ht="56.25" customHeight="1">
      <c r="A98" s="308"/>
      <c r="B98" s="33" t="s">
        <v>186</v>
      </c>
      <c r="C98" s="36">
        <v>131</v>
      </c>
      <c r="D98" s="36">
        <v>5</v>
      </c>
      <c r="E98" s="239">
        <v>96</v>
      </c>
      <c r="F98" s="34" t="s">
        <v>189</v>
      </c>
      <c r="G98" s="34" t="s">
        <v>99</v>
      </c>
      <c r="H98" s="35">
        <v>173.5</v>
      </c>
      <c r="I98" s="34" t="s">
        <v>49</v>
      </c>
      <c r="J98" s="36" t="s">
        <v>57</v>
      </c>
      <c r="K98" s="37">
        <f t="shared" ref="K98" si="21">E98</f>
        <v>96</v>
      </c>
      <c r="L98" s="38">
        <f t="shared" ref="L98" si="22">H98-K98</f>
        <v>77.5</v>
      </c>
      <c r="M98" s="38"/>
      <c r="O98" s="38"/>
      <c r="P98" s="38"/>
      <c r="Q98" s="39">
        <f t="shared" si="16"/>
        <v>173.5</v>
      </c>
      <c r="R98" s="311"/>
      <c r="S98" s="66" t="str">
        <f t="shared" si="19"/>
        <v>LUK</v>
      </c>
      <c r="T98" s="45"/>
      <c r="U98" s="248"/>
      <c r="V98" s="67"/>
      <c r="W98" s="67"/>
    </row>
    <row r="99" spans="1:23" s="68" customFormat="1" ht="56.25" customHeight="1">
      <c r="A99" s="308"/>
      <c r="B99" s="33" t="s">
        <v>186</v>
      </c>
      <c r="C99" s="36"/>
      <c r="D99" s="36"/>
      <c r="E99" s="239"/>
      <c r="F99" s="34" t="s">
        <v>192</v>
      </c>
      <c r="G99" s="34" t="s">
        <v>96</v>
      </c>
      <c r="H99" s="35">
        <v>80.7</v>
      </c>
      <c r="I99" s="34" t="s">
        <v>49</v>
      </c>
      <c r="J99" s="36" t="s">
        <v>193</v>
      </c>
      <c r="K99" s="37"/>
      <c r="L99" s="38"/>
      <c r="M99" s="38">
        <v>64.7</v>
      </c>
      <c r="N99" s="38"/>
      <c r="O99" s="38"/>
      <c r="P99" s="38">
        <v>16</v>
      </c>
      <c r="Q99" s="39">
        <f>SUM(K99:P99)</f>
        <v>80.7</v>
      </c>
      <c r="R99" s="311"/>
      <c r="S99" s="66" t="s">
        <v>553</v>
      </c>
      <c r="T99" s="45"/>
      <c r="U99" s="248"/>
      <c r="V99" s="67"/>
      <c r="W99" s="67"/>
    </row>
    <row r="100" spans="1:23" s="68" customFormat="1" ht="56.25" customHeight="1">
      <c r="A100" s="308"/>
      <c r="B100" s="33" t="s">
        <v>186</v>
      </c>
      <c r="C100" s="36"/>
      <c r="D100" s="36"/>
      <c r="E100" s="239"/>
      <c r="F100" s="34" t="s">
        <v>194</v>
      </c>
      <c r="G100" s="34" t="s">
        <v>96</v>
      </c>
      <c r="H100" s="35">
        <v>210.7</v>
      </c>
      <c r="I100" s="34" t="s">
        <v>45</v>
      </c>
      <c r="J100" s="36" t="s">
        <v>195</v>
      </c>
      <c r="K100" s="37"/>
      <c r="L100" s="38">
        <f t="shared" ref="L100" si="23">H100-K100</f>
        <v>210.7</v>
      </c>
      <c r="M100" s="38"/>
      <c r="N100" s="38"/>
      <c r="O100" s="38"/>
      <c r="P100" s="38"/>
      <c r="Q100" s="39">
        <f t="shared" si="16"/>
        <v>210.7</v>
      </c>
      <c r="R100" s="311"/>
      <c r="S100" s="66" t="str">
        <f t="shared" ref="S100:S129" si="24">I100</f>
        <v>LUC</v>
      </c>
      <c r="T100" s="45"/>
      <c r="U100" s="248"/>
      <c r="V100" s="67"/>
      <c r="W100" s="67"/>
    </row>
    <row r="101" spans="1:23" s="68" customFormat="1" ht="49.5" customHeight="1">
      <c r="A101" s="307">
        <v>37</v>
      </c>
      <c r="B101" s="33" t="s">
        <v>196</v>
      </c>
      <c r="C101" s="36">
        <v>119</v>
      </c>
      <c r="D101" s="36">
        <v>4</v>
      </c>
      <c r="E101" s="239">
        <v>156</v>
      </c>
      <c r="F101" s="34" t="s">
        <v>197</v>
      </c>
      <c r="G101" s="34" t="s">
        <v>99</v>
      </c>
      <c r="H101" s="35">
        <v>146.80000000000001</v>
      </c>
      <c r="I101" s="34" t="s">
        <v>49</v>
      </c>
      <c r="J101" s="36" t="s">
        <v>198</v>
      </c>
      <c r="K101" s="37">
        <v>146.80000000000001</v>
      </c>
      <c r="L101" s="38">
        <f t="shared" ref="L101:L103" si="25">H101-K101</f>
        <v>0</v>
      </c>
      <c r="M101" s="38"/>
      <c r="N101" s="38"/>
      <c r="O101" s="38"/>
      <c r="P101" s="38"/>
      <c r="Q101" s="39">
        <f t="shared" si="16"/>
        <v>146.80000000000001</v>
      </c>
      <c r="R101" s="310">
        <f>SUM(Q101:Q106)</f>
        <v>1278.3</v>
      </c>
      <c r="S101" s="66" t="str">
        <f t="shared" si="24"/>
        <v>LUK</v>
      </c>
      <c r="T101" s="45"/>
      <c r="U101" s="248"/>
      <c r="V101" s="67"/>
      <c r="W101" s="67"/>
    </row>
    <row r="102" spans="1:23" s="68" customFormat="1" ht="49.5" customHeight="1">
      <c r="A102" s="308"/>
      <c r="B102" s="33" t="s">
        <v>196</v>
      </c>
      <c r="C102" s="36"/>
      <c r="D102" s="36"/>
      <c r="E102" s="239"/>
      <c r="F102" s="34" t="s">
        <v>200</v>
      </c>
      <c r="G102" s="34" t="s">
        <v>99</v>
      </c>
      <c r="H102" s="35">
        <v>87.8</v>
      </c>
      <c r="I102" s="34" t="s">
        <v>49</v>
      </c>
      <c r="J102" s="36" t="s">
        <v>57</v>
      </c>
      <c r="K102" s="37"/>
      <c r="L102" s="38">
        <f t="shared" si="25"/>
        <v>87.8</v>
      </c>
      <c r="M102" s="38"/>
      <c r="N102" s="38"/>
      <c r="O102" s="38"/>
      <c r="P102" s="38"/>
      <c r="Q102" s="39">
        <f t="shared" si="16"/>
        <v>87.8</v>
      </c>
      <c r="R102" s="311"/>
      <c r="S102" s="66" t="str">
        <f t="shared" si="24"/>
        <v>LUK</v>
      </c>
      <c r="T102" s="45"/>
      <c r="U102" s="248"/>
      <c r="V102" s="67"/>
      <c r="W102" s="67"/>
    </row>
    <row r="103" spans="1:23" s="68" customFormat="1" ht="57" customHeight="1">
      <c r="A103" s="308"/>
      <c r="B103" s="33" t="s">
        <v>196</v>
      </c>
      <c r="C103" s="36">
        <v>22</v>
      </c>
      <c r="D103" s="36">
        <v>4</v>
      </c>
      <c r="E103" s="239">
        <v>570</v>
      </c>
      <c r="F103" s="34" t="s">
        <v>201</v>
      </c>
      <c r="G103" s="34" t="s">
        <v>99</v>
      </c>
      <c r="H103" s="35">
        <v>696.9</v>
      </c>
      <c r="I103" s="34" t="s">
        <v>45</v>
      </c>
      <c r="J103" s="36" t="s">
        <v>60</v>
      </c>
      <c r="K103" s="37">
        <f t="shared" si="18"/>
        <v>570</v>
      </c>
      <c r="L103" s="38">
        <f t="shared" si="25"/>
        <v>126.89999999999998</v>
      </c>
      <c r="M103" s="38"/>
      <c r="N103" s="38"/>
      <c r="O103" s="38"/>
      <c r="P103" s="38"/>
      <c r="Q103" s="39">
        <f t="shared" si="16"/>
        <v>696.9</v>
      </c>
      <c r="R103" s="311"/>
      <c r="S103" s="66" t="str">
        <f t="shared" si="24"/>
        <v>LUC</v>
      </c>
      <c r="T103" s="45"/>
      <c r="U103" s="248"/>
      <c r="V103" s="67"/>
      <c r="W103" s="67"/>
    </row>
    <row r="104" spans="1:23" s="68" customFormat="1" ht="57" customHeight="1">
      <c r="A104" s="308"/>
      <c r="B104" s="33" t="s">
        <v>196</v>
      </c>
      <c r="C104" s="36">
        <v>94</v>
      </c>
      <c r="D104" s="36">
        <v>5</v>
      </c>
      <c r="E104" s="239">
        <v>252</v>
      </c>
      <c r="F104" s="34" t="s">
        <v>202</v>
      </c>
      <c r="G104" s="34" t="s">
        <v>99</v>
      </c>
      <c r="H104" s="35">
        <v>294.3</v>
      </c>
      <c r="I104" s="34" t="s">
        <v>49</v>
      </c>
      <c r="J104" s="36" t="s">
        <v>111</v>
      </c>
      <c r="K104" s="37"/>
      <c r="L104" s="38"/>
      <c r="M104" s="38"/>
      <c r="N104" s="38">
        <v>36</v>
      </c>
      <c r="O104" s="38"/>
      <c r="P104" s="38"/>
      <c r="Q104" s="39">
        <f t="shared" si="16"/>
        <v>36</v>
      </c>
      <c r="R104" s="311"/>
      <c r="S104" s="66" t="str">
        <f t="shared" si="24"/>
        <v>LUK</v>
      </c>
      <c r="T104" s="45"/>
      <c r="U104" s="248"/>
      <c r="V104" s="67"/>
      <c r="W104" s="67"/>
    </row>
    <row r="105" spans="1:23" s="68" customFormat="1" ht="57" customHeight="1">
      <c r="A105" s="308"/>
      <c r="B105" s="33" t="s">
        <v>196</v>
      </c>
      <c r="C105" s="36">
        <v>94</v>
      </c>
      <c r="D105" s="36">
        <v>5</v>
      </c>
      <c r="E105" s="239">
        <v>252</v>
      </c>
      <c r="F105" s="34" t="s">
        <v>202</v>
      </c>
      <c r="G105" s="34" t="s">
        <v>99</v>
      </c>
      <c r="H105" s="35">
        <v>294.3</v>
      </c>
      <c r="I105" s="34" t="s">
        <v>49</v>
      </c>
      <c r="J105" s="36" t="s">
        <v>111</v>
      </c>
      <c r="K105" s="37">
        <f t="shared" ref="K105:K112" si="26">E105</f>
        <v>252</v>
      </c>
      <c r="L105" s="38">
        <f>294.3-252-36</f>
        <v>6.3000000000000114</v>
      </c>
      <c r="M105" s="38"/>
      <c r="N105" s="38"/>
      <c r="O105" s="38"/>
      <c r="P105" s="38"/>
      <c r="Q105" s="39">
        <f t="shared" si="16"/>
        <v>258.3</v>
      </c>
      <c r="R105" s="311"/>
      <c r="S105" s="66" t="str">
        <f t="shared" si="24"/>
        <v>LUK</v>
      </c>
      <c r="T105" s="45"/>
      <c r="U105" s="248"/>
      <c r="V105" s="67"/>
      <c r="W105" s="67"/>
    </row>
    <row r="106" spans="1:23" s="68" customFormat="1" ht="57" customHeight="1">
      <c r="A106" s="309"/>
      <c r="B106" s="33" t="s">
        <v>196</v>
      </c>
      <c r="C106" s="36">
        <v>121</v>
      </c>
      <c r="D106" s="36">
        <v>472</v>
      </c>
      <c r="E106" s="239">
        <v>72</v>
      </c>
      <c r="F106" s="34" t="s">
        <v>203</v>
      </c>
      <c r="G106" s="34" t="s">
        <v>99</v>
      </c>
      <c r="H106" s="35">
        <v>52.5</v>
      </c>
      <c r="I106" s="34" t="s">
        <v>55</v>
      </c>
      <c r="J106" s="36" t="s">
        <v>60</v>
      </c>
      <c r="K106" s="37">
        <v>52.5</v>
      </c>
      <c r="L106" s="38">
        <f>H106-K106</f>
        <v>0</v>
      </c>
      <c r="M106" s="38"/>
      <c r="N106" s="38"/>
      <c r="O106" s="38"/>
      <c r="P106" s="38"/>
      <c r="Q106" s="39">
        <f t="shared" si="16"/>
        <v>52.5</v>
      </c>
      <c r="R106" s="312"/>
      <c r="S106" s="66" t="str">
        <f t="shared" si="24"/>
        <v>BHK</v>
      </c>
      <c r="T106" s="45"/>
      <c r="U106" s="248"/>
      <c r="V106" s="67"/>
      <c r="W106" s="67"/>
    </row>
    <row r="107" spans="1:23" s="68" customFormat="1" ht="57" customHeight="1">
      <c r="A107" s="32">
        <v>38</v>
      </c>
      <c r="B107" s="33" t="s">
        <v>205</v>
      </c>
      <c r="C107" s="36">
        <v>96</v>
      </c>
      <c r="D107" s="36">
        <v>4</v>
      </c>
      <c r="E107" s="239">
        <v>131</v>
      </c>
      <c r="F107" s="34" t="s">
        <v>206</v>
      </c>
      <c r="G107" s="34" t="s">
        <v>99</v>
      </c>
      <c r="H107" s="35">
        <v>348.4</v>
      </c>
      <c r="I107" s="34" t="s">
        <v>55</v>
      </c>
      <c r="J107" s="36" t="s">
        <v>60</v>
      </c>
      <c r="K107" s="37">
        <f t="shared" si="26"/>
        <v>131</v>
      </c>
      <c r="L107" s="38">
        <v>43.2</v>
      </c>
      <c r="M107" s="38"/>
      <c r="N107" s="38"/>
      <c r="O107" s="38"/>
      <c r="P107" s="38"/>
      <c r="Q107" s="39">
        <f t="shared" si="16"/>
        <v>174.2</v>
      </c>
      <c r="R107" s="63">
        <f>174.2</f>
        <v>174.2</v>
      </c>
      <c r="S107" s="66" t="str">
        <f t="shared" si="24"/>
        <v>BHK</v>
      </c>
      <c r="T107" s="45"/>
      <c r="U107" s="248"/>
      <c r="V107" s="67"/>
      <c r="W107" s="67"/>
    </row>
    <row r="108" spans="1:23" s="47" customFormat="1" ht="57" customHeight="1">
      <c r="A108" s="307">
        <v>39</v>
      </c>
      <c r="B108" s="33" t="s">
        <v>207</v>
      </c>
      <c r="C108" s="36">
        <v>7</v>
      </c>
      <c r="D108" s="36">
        <v>4</v>
      </c>
      <c r="E108" s="239">
        <v>600</v>
      </c>
      <c r="F108" s="34" t="s">
        <v>208</v>
      </c>
      <c r="G108" s="34" t="s">
        <v>99</v>
      </c>
      <c r="H108" s="35">
        <v>699.3</v>
      </c>
      <c r="I108" s="34" t="s">
        <v>45</v>
      </c>
      <c r="J108" s="36" t="s">
        <v>54</v>
      </c>
      <c r="K108" s="37">
        <f t="shared" si="26"/>
        <v>600</v>
      </c>
      <c r="L108" s="38">
        <f t="shared" ref="L108:L116" si="27">H108-K108</f>
        <v>99.299999999999955</v>
      </c>
      <c r="M108" s="38"/>
      <c r="N108" s="38"/>
      <c r="O108" s="38"/>
      <c r="P108" s="38"/>
      <c r="Q108" s="39">
        <f t="shared" si="16"/>
        <v>699.3</v>
      </c>
      <c r="R108" s="310">
        <f>SUM(Q108:Q112)</f>
        <v>1569.2</v>
      </c>
      <c r="S108" s="66" t="str">
        <f t="shared" si="24"/>
        <v>LUC</v>
      </c>
      <c r="T108" s="45"/>
      <c r="U108" s="247"/>
      <c r="V108" s="46"/>
      <c r="W108" s="46"/>
    </row>
    <row r="109" spans="1:23" s="47" customFormat="1" ht="57" customHeight="1">
      <c r="A109" s="308"/>
      <c r="B109" s="33" t="s">
        <v>207</v>
      </c>
      <c r="C109" s="36">
        <v>79</v>
      </c>
      <c r="D109" s="36">
        <v>4</v>
      </c>
      <c r="E109" s="239">
        <v>156</v>
      </c>
      <c r="F109" s="34" t="s">
        <v>209</v>
      </c>
      <c r="G109" s="34" t="s">
        <v>99</v>
      </c>
      <c r="H109" s="35">
        <v>193.4</v>
      </c>
      <c r="I109" s="34" t="s">
        <v>55</v>
      </c>
      <c r="J109" s="36" t="s">
        <v>60</v>
      </c>
      <c r="K109" s="37">
        <f t="shared" si="26"/>
        <v>156</v>
      </c>
      <c r="L109" s="38">
        <f t="shared" si="27"/>
        <v>37.400000000000006</v>
      </c>
      <c r="M109" s="38"/>
      <c r="N109" s="38"/>
      <c r="O109" s="38"/>
      <c r="P109" s="38"/>
      <c r="Q109" s="39">
        <f t="shared" si="16"/>
        <v>193.4</v>
      </c>
      <c r="R109" s="311"/>
      <c r="S109" s="66" t="str">
        <f t="shared" si="24"/>
        <v>BHK</v>
      </c>
      <c r="T109" s="45"/>
      <c r="U109" s="247"/>
      <c r="V109" s="46"/>
      <c r="W109" s="46"/>
    </row>
    <row r="110" spans="1:23" s="47" customFormat="1" ht="57" customHeight="1">
      <c r="A110" s="308"/>
      <c r="B110" s="33" t="s">
        <v>207</v>
      </c>
      <c r="C110" s="36">
        <v>79</v>
      </c>
      <c r="D110" s="36">
        <v>4</v>
      </c>
      <c r="E110" s="239">
        <v>336</v>
      </c>
      <c r="F110" s="34" t="s">
        <v>210</v>
      </c>
      <c r="G110" s="34" t="s">
        <v>99</v>
      </c>
      <c r="H110" s="35">
        <v>336.1</v>
      </c>
      <c r="I110" s="34" t="s">
        <v>45</v>
      </c>
      <c r="J110" s="36" t="s">
        <v>60</v>
      </c>
      <c r="K110" s="37">
        <f t="shared" si="26"/>
        <v>336</v>
      </c>
      <c r="L110" s="38">
        <f t="shared" si="27"/>
        <v>0.10000000000002274</v>
      </c>
      <c r="M110" s="38"/>
      <c r="N110" s="38"/>
      <c r="O110" s="38"/>
      <c r="P110" s="38"/>
      <c r="Q110" s="39">
        <f t="shared" si="16"/>
        <v>336.1</v>
      </c>
      <c r="R110" s="311"/>
      <c r="S110" s="66" t="str">
        <f t="shared" si="24"/>
        <v>LUC</v>
      </c>
      <c r="T110" s="45"/>
      <c r="U110" s="247"/>
      <c r="V110" s="46"/>
      <c r="W110" s="46"/>
    </row>
    <row r="111" spans="1:23" s="47" customFormat="1" ht="57" customHeight="1">
      <c r="A111" s="308"/>
      <c r="B111" s="33" t="s">
        <v>207</v>
      </c>
      <c r="C111" s="36"/>
      <c r="D111" s="36"/>
      <c r="E111" s="239"/>
      <c r="F111" s="34" t="s">
        <v>211</v>
      </c>
      <c r="G111" s="34" t="s">
        <v>99</v>
      </c>
      <c r="H111" s="35">
        <v>131.19999999999999</v>
      </c>
      <c r="I111" s="34" t="s">
        <v>49</v>
      </c>
      <c r="J111" s="36" t="s">
        <v>57</v>
      </c>
      <c r="K111" s="37"/>
      <c r="L111" s="38">
        <f t="shared" si="27"/>
        <v>131.19999999999999</v>
      </c>
      <c r="M111" s="38"/>
      <c r="N111" s="38"/>
      <c r="O111" s="38"/>
      <c r="P111" s="38"/>
      <c r="Q111" s="39">
        <f t="shared" si="16"/>
        <v>131.19999999999999</v>
      </c>
      <c r="R111" s="311"/>
      <c r="S111" s="66" t="str">
        <f t="shared" si="24"/>
        <v>LUK</v>
      </c>
      <c r="T111" s="45"/>
      <c r="U111" s="247"/>
      <c r="V111" s="46"/>
      <c r="W111" s="46"/>
    </row>
    <row r="112" spans="1:23" s="47" customFormat="1" ht="57" customHeight="1">
      <c r="A112" s="309"/>
      <c r="B112" s="33" t="s">
        <v>207</v>
      </c>
      <c r="C112" s="36">
        <v>184</v>
      </c>
      <c r="D112" s="36">
        <v>5</v>
      </c>
      <c r="E112" s="239">
        <v>204</v>
      </c>
      <c r="F112" s="34" t="s">
        <v>212</v>
      </c>
      <c r="G112" s="34" t="s">
        <v>99</v>
      </c>
      <c r="H112" s="35">
        <v>209.2</v>
      </c>
      <c r="I112" s="34" t="s">
        <v>49</v>
      </c>
      <c r="J112" s="36" t="s">
        <v>57</v>
      </c>
      <c r="K112" s="37">
        <f t="shared" si="26"/>
        <v>204</v>
      </c>
      <c r="L112" s="38">
        <f t="shared" si="27"/>
        <v>5.1999999999999886</v>
      </c>
      <c r="M112" s="38"/>
      <c r="N112" s="38"/>
      <c r="O112" s="38"/>
      <c r="P112" s="38"/>
      <c r="Q112" s="39">
        <f t="shared" si="16"/>
        <v>209.2</v>
      </c>
      <c r="R112" s="312"/>
      <c r="S112" s="66" t="str">
        <f t="shared" si="24"/>
        <v>LUK</v>
      </c>
      <c r="T112" s="45"/>
      <c r="U112" s="247"/>
      <c r="V112" s="46"/>
      <c r="W112" s="46"/>
    </row>
    <row r="113" spans="1:23" s="68" customFormat="1" ht="57.75" customHeight="1">
      <c r="A113" s="307">
        <v>40</v>
      </c>
      <c r="B113" s="33" t="s">
        <v>213</v>
      </c>
      <c r="C113" s="36">
        <v>121</v>
      </c>
      <c r="D113" s="36">
        <v>4</v>
      </c>
      <c r="E113" s="239">
        <v>288</v>
      </c>
      <c r="F113" s="34" t="s">
        <v>214</v>
      </c>
      <c r="G113" s="34" t="s">
        <v>99</v>
      </c>
      <c r="H113" s="35">
        <v>270.3</v>
      </c>
      <c r="I113" s="34" t="s">
        <v>49</v>
      </c>
      <c r="J113" s="36" t="s">
        <v>57</v>
      </c>
      <c r="K113" s="37">
        <v>270.3</v>
      </c>
      <c r="L113" s="38">
        <f t="shared" si="27"/>
        <v>0</v>
      </c>
      <c r="M113" s="38"/>
      <c r="N113" s="38"/>
      <c r="O113" s="38"/>
      <c r="P113" s="38"/>
      <c r="Q113" s="39">
        <f t="shared" si="16"/>
        <v>270.3</v>
      </c>
      <c r="R113" s="310">
        <f>SUM(Q113:Q116)</f>
        <v>808.19999999999993</v>
      </c>
      <c r="S113" s="66" t="str">
        <f t="shared" si="24"/>
        <v>LUK</v>
      </c>
      <c r="T113" s="45"/>
      <c r="U113" s="248"/>
      <c r="V113" s="67"/>
      <c r="W113" s="67"/>
    </row>
    <row r="114" spans="1:23" s="68" customFormat="1" ht="57.75" customHeight="1">
      <c r="A114" s="308"/>
      <c r="B114" s="33" t="s">
        <v>213</v>
      </c>
      <c r="C114" s="322">
        <v>28</v>
      </c>
      <c r="D114" s="322">
        <v>4</v>
      </c>
      <c r="E114" s="325">
        <v>360</v>
      </c>
      <c r="F114" s="34" t="s">
        <v>215</v>
      </c>
      <c r="G114" s="34" t="s">
        <v>99</v>
      </c>
      <c r="H114" s="35">
        <v>124.5</v>
      </c>
      <c r="I114" s="34" t="s">
        <v>45</v>
      </c>
      <c r="J114" s="36" t="s">
        <v>54</v>
      </c>
      <c r="K114" s="37">
        <v>124.5</v>
      </c>
      <c r="L114" s="38">
        <f t="shared" si="27"/>
        <v>0</v>
      </c>
      <c r="M114" s="38"/>
      <c r="N114" s="38"/>
      <c r="O114" s="38"/>
      <c r="P114" s="38"/>
      <c r="Q114" s="39">
        <f t="shared" si="16"/>
        <v>124.5</v>
      </c>
      <c r="R114" s="311"/>
      <c r="S114" s="66" t="str">
        <f t="shared" si="24"/>
        <v>LUC</v>
      </c>
      <c r="T114" s="56"/>
      <c r="U114" s="248"/>
      <c r="V114" s="67"/>
      <c r="W114" s="67"/>
    </row>
    <row r="115" spans="1:23" s="68" customFormat="1" ht="57.75" customHeight="1">
      <c r="A115" s="308"/>
      <c r="B115" s="33" t="s">
        <v>213</v>
      </c>
      <c r="C115" s="323"/>
      <c r="D115" s="323"/>
      <c r="E115" s="326"/>
      <c r="F115" s="79" t="s">
        <v>96</v>
      </c>
      <c r="G115" s="79" t="s">
        <v>99</v>
      </c>
      <c r="H115" s="80">
        <v>286</v>
      </c>
      <c r="I115" s="79" t="s">
        <v>45</v>
      </c>
      <c r="J115" s="72" t="s">
        <v>54</v>
      </c>
      <c r="K115" s="152">
        <f>360-124.5</f>
        <v>235.5</v>
      </c>
      <c r="L115" s="153">
        <f t="shared" si="27"/>
        <v>50.5</v>
      </c>
      <c r="M115" s="38"/>
      <c r="N115" s="38"/>
      <c r="O115" s="38"/>
      <c r="P115" s="38"/>
      <c r="Q115" s="39">
        <f t="shared" si="16"/>
        <v>286</v>
      </c>
      <c r="R115" s="311"/>
      <c r="S115" s="66" t="str">
        <f t="shared" si="24"/>
        <v>LUC</v>
      </c>
      <c r="T115" s="45"/>
      <c r="U115" s="248"/>
      <c r="V115" s="67"/>
      <c r="W115" s="67"/>
    </row>
    <row r="116" spans="1:23" s="68" customFormat="1" ht="57.75" customHeight="1">
      <c r="A116" s="309"/>
      <c r="B116" s="33" t="s">
        <v>213</v>
      </c>
      <c r="C116" s="36">
        <v>67</v>
      </c>
      <c r="D116" s="36">
        <v>4</v>
      </c>
      <c r="E116" s="239">
        <v>76</v>
      </c>
      <c r="F116" s="34" t="s">
        <v>217</v>
      </c>
      <c r="G116" s="34" t="s">
        <v>99</v>
      </c>
      <c r="H116" s="35">
        <v>127.4</v>
      </c>
      <c r="I116" s="34" t="s">
        <v>55</v>
      </c>
      <c r="J116" s="36" t="s">
        <v>56</v>
      </c>
      <c r="K116" s="37">
        <f t="shared" ref="K116" si="28">E116</f>
        <v>76</v>
      </c>
      <c r="L116" s="38">
        <f t="shared" si="27"/>
        <v>51.400000000000006</v>
      </c>
      <c r="M116" s="38"/>
      <c r="N116" s="38"/>
      <c r="O116" s="38"/>
      <c r="P116" s="38"/>
      <c r="Q116" s="39">
        <f t="shared" si="16"/>
        <v>127.4</v>
      </c>
      <c r="R116" s="311"/>
      <c r="S116" s="66" t="str">
        <f t="shared" si="24"/>
        <v>BHK</v>
      </c>
      <c r="T116" s="45"/>
      <c r="U116" s="248"/>
      <c r="V116" s="67"/>
      <c r="W116" s="67"/>
    </row>
    <row r="117" spans="1:23" s="47" customFormat="1" ht="69" customHeight="1">
      <c r="A117" s="151">
        <v>41</v>
      </c>
      <c r="B117" s="33" t="s">
        <v>218</v>
      </c>
      <c r="C117" s="36">
        <v>99</v>
      </c>
      <c r="D117" s="36">
        <v>4</v>
      </c>
      <c r="E117" s="239">
        <v>456</v>
      </c>
      <c r="F117" s="34" t="s">
        <v>219</v>
      </c>
      <c r="G117" s="34">
        <v>28</v>
      </c>
      <c r="H117" s="35">
        <v>516.79999999999995</v>
      </c>
      <c r="I117" s="34" t="s">
        <v>45</v>
      </c>
      <c r="J117" s="36" t="s">
        <v>60</v>
      </c>
      <c r="K117" s="37">
        <v>456</v>
      </c>
      <c r="L117" s="38">
        <f>H117-K117</f>
        <v>60.799999999999955</v>
      </c>
      <c r="M117" s="38"/>
      <c r="N117" s="38"/>
      <c r="O117" s="38"/>
      <c r="P117" s="38"/>
      <c r="Q117" s="39">
        <f t="shared" si="16"/>
        <v>516.79999999999995</v>
      </c>
      <c r="R117" s="85">
        <f>SUM(Q117:Q117)</f>
        <v>516.79999999999995</v>
      </c>
      <c r="S117" s="66" t="str">
        <f t="shared" si="24"/>
        <v>LUC</v>
      </c>
      <c r="T117" s="45"/>
      <c r="U117" s="247"/>
      <c r="V117" s="46"/>
      <c r="W117" s="46"/>
    </row>
    <row r="118" spans="1:23" s="68" customFormat="1" ht="49.5" customHeight="1">
      <c r="A118" s="307">
        <v>42</v>
      </c>
      <c r="B118" s="33" t="s">
        <v>521</v>
      </c>
      <c r="C118" s="36">
        <v>32</v>
      </c>
      <c r="D118" s="36">
        <v>5</v>
      </c>
      <c r="E118" s="239">
        <v>36</v>
      </c>
      <c r="F118" s="34">
        <v>526</v>
      </c>
      <c r="G118" s="34">
        <v>28</v>
      </c>
      <c r="H118" s="35">
        <v>106.5</v>
      </c>
      <c r="I118" s="34" t="s">
        <v>49</v>
      </c>
      <c r="J118" s="36" t="s">
        <v>111</v>
      </c>
      <c r="K118" s="37">
        <f t="shared" ref="K118:K129" si="29">E118</f>
        <v>36</v>
      </c>
      <c r="L118" s="38">
        <f t="shared" ref="L118:L126" si="30">H118-K118</f>
        <v>70.5</v>
      </c>
      <c r="M118" s="38"/>
      <c r="N118" s="38"/>
      <c r="O118" s="38"/>
      <c r="P118" s="38"/>
      <c r="Q118" s="39">
        <f t="shared" ref="Q118:Q123" si="31">K118+L118+N118+O118+M118</f>
        <v>106.5</v>
      </c>
      <c r="R118" s="310">
        <f>SUM(Q118:Q121)</f>
        <v>478.8</v>
      </c>
      <c r="S118" s="66" t="str">
        <f t="shared" si="24"/>
        <v>LUK</v>
      </c>
      <c r="T118" s="45"/>
      <c r="U118" s="248"/>
      <c r="V118" s="67"/>
      <c r="W118" s="67"/>
    </row>
    <row r="119" spans="1:23" s="68" customFormat="1" ht="49.5" customHeight="1">
      <c r="A119" s="308"/>
      <c r="B119" s="33" t="s">
        <v>521</v>
      </c>
      <c r="C119" s="72">
        <v>146</v>
      </c>
      <c r="D119" s="72">
        <v>5</v>
      </c>
      <c r="E119" s="73">
        <v>240</v>
      </c>
      <c r="F119" s="34">
        <v>196</v>
      </c>
      <c r="G119" s="34">
        <v>28</v>
      </c>
      <c r="H119" s="35">
        <v>232.9</v>
      </c>
      <c r="I119" s="34" t="s">
        <v>45</v>
      </c>
      <c r="J119" s="36" t="s">
        <v>46</v>
      </c>
      <c r="K119" s="37">
        <v>53.9</v>
      </c>
      <c r="L119" s="38"/>
      <c r="M119" s="38"/>
      <c r="N119" s="38"/>
      <c r="O119" s="38"/>
      <c r="P119" s="38"/>
      <c r="Q119" s="39">
        <f t="shared" si="31"/>
        <v>53.9</v>
      </c>
      <c r="R119" s="311"/>
      <c r="S119" s="66" t="str">
        <f t="shared" si="24"/>
        <v>LUC</v>
      </c>
      <c r="T119" s="45"/>
      <c r="U119" s="248"/>
      <c r="V119" s="67"/>
      <c r="W119" s="67"/>
    </row>
    <row r="120" spans="1:23" s="68" customFormat="1" ht="49.5" customHeight="1">
      <c r="A120" s="308"/>
      <c r="B120" s="33" t="s">
        <v>521</v>
      </c>
      <c r="C120" s="77"/>
      <c r="D120" s="77"/>
      <c r="E120" s="78"/>
      <c r="F120" s="34">
        <v>197</v>
      </c>
      <c r="G120" s="34">
        <v>28</v>
      </c>
      <c r="H120" s="35">
        <v>900.7</v>
      </c>
      <c r="I120" s="34" t="s">
        <v>45</v>
      </c>
      <c r="J120" s="36" t="s">
        <v>46</v>
      </c>
      <c r="K120" s="37">
        <f>240-53.9</f>
        <v>186.1</v>
      </c>
      <c r="L120" s="38">
        <f>193.7-186.1</f>
        <v>7.5999999999999943</v>
      </c>
      <c r="M120" s="38"/>
      <c r="N120" s="38"/>
      <c r="O120" s="38"/>
      <c r="P120" s="38"/>
      <c r="Q120" s="39">
        <f t="shared" si="31"/>
        <v>193.7</v>
      </c>
      <c r="R120" s="311"/>
      <c r="S120" s="66" t="str">
        <f t="shared" si="24"/>
        <v>LUC</v>
      </c>
      <c r="T120" s="45"/>
      <c r="U120" s="248"/>
      <c r="V120" s="67"/>
      <c r="W120" s="67"/>
    </row>
    <row r="121" spans="1:23" s="68" customFormat="1" ht="49.5" customHeight="1">
      <c r="A121" s="308"/>
      <c r="B121" s="33" t="s">
        <v>521</v>
      </c>
      <c r="C121" s="36"/>
      <c r="D121" s="36"/>
      <c r="E121" s="239"/>
      <c r="F121" s="34">
        <v>85</v>
      </c>
      <c r="G121" s="34">
        <v>28</v>
      </c>
      <c r="H121" s="35">
        <v>124.7</v>
      </c>
      <c r="I121" s="34" t="s">
        <v>49</v>
      </c>
      <c r="J121" s="36" t="s">
        <v>50</v>
      </c>
      <c r="K121" s="37"/>
      <c r="L121" s="38">
        <f t="shared" ref="L121" si="32">H121-K121</f>
        <v>124.7</v>
      </c>
      <c r="M121" s="38"/>
      <c r="N121" s="38"/>
      <c r="O121" s="38"/>
      <c r="P121" s="38"/>
      <c r="Q121" s="39">
        <f t="shared" si="31"/>
        <v>124.7</v>
      </c>
      <c r="R121" s="311"/>
      <c r="S121" s="66" t="str">
        <f t="shared" si="24"/>
        <v>LUK</v>
      </c>
      <c r="T121" s="45"/>
      <c r="U121" s="248"/>
      <c r="V121" s="67"/>
      <c r="W121" s="67"/>
    </row>
    <row r="122" spans="1:23" s="68" customFormat="1" ht="57" customHeight="1">
      <c r="A122" s="307">
        <v>43</v>
      </c>
      <c r="B122" s="33" t="s">
        <v>221</v>
      </c>
      <c r="C122" s="36">
        <v>108</v>
      </c>
      <c r="D122" s="36">
        <v>5</v>
      </c>
      <c r="E122" s="239">
        <v>120</v>
      </c>
      <c r="F122" s="34" t="s">
        <v>222</v>
      </c>
      <c r="G122" s="34" t="s">
        <v>159</v>
      </c>
      <c r="H122" s="35">
        <v>139.6</v>
      </c>
      <c r="I122" s="34" t="s">
        <v>49</v>
      </c>
      <c r="J122" s="36" t="s">
        <v>50</v>
      </c>
      <c r="K122" s="37">
        <f t="shared" ref="K122" si="33">E122</f>
        <v>120</v>
      </c>
      <c r="L122" s="38">
        <f t="shared" ref="L122" si="34">H122-K122</f>
        <v>19.599999999999994</v>
      </c>
      <c r="M122" s="38"/>
      <c r="N122" s="38"/>
      <c r="O122" s="38"/>
      <c r="P122" s="38"/>
      <c r="Q122" s="39">
        <f t="shared" ref="Q122" si="35">K122+L122+N122+O122+M122</f>
        <v>139.6</v>
      </c>
      <c r="R122" s="310">
        <f>SUM(Q122:Q124)</f>
        <v>757.1</v>
      </c>
      <c r="S122" s="66" t="str">
        <f t="shared" si="24"/>
        <v>LUK</v>
      </c>
      <c r="T122" s="45"/>
      <c r="U122" s="248"/>
      <c r="V122" s="67"/>
      <c r="W122" s="67"/>
    </row>
    <row r="123" spans="1:23" s="68" customFormat="1" ht="57" customHeight="1">
      <c r="A123" s="308"/>
      <c r="B123" s="33" t="s">
        <v>221</v>
      </c>
      <c r="C123" s="36">
        <v>40</v>
      </c>
      <c r="D123" s="36">
        <v>4</v>
      </c>
      <c r="E123" s="239">
        <v>156</v>
      </c>
      <c r="F123" s="34" t="s">
        <v>224</v>
      </c>
      <c r="G123" s="34" t="s">
        <v>99</v>
      </c>
      <c r="H123" s="35">
        <v>243.4</v>
      </c>
      <c r="I123" s="34" t="s">
        <v>49</v>
      </c>
      <c r="J123" s="36" t="s">
        <v>50</v>
      </c>
      <c r="K123" s="37">
        <f t="shared" si="29"/>
        <v>156</v>
      </c>
      <c r="L123" s="38">
        <f t="shared" si="30"/>
        <v>87.4</v>
      </c>
      <c r="M123" s="38"/>
      <c r="N123" s="38"/>
      <c r="O123" s="38"/>
      <c r="P123" s="38"/>
      <c r="Q123" s="39">
        <f t="shared" si="31"/>
        <v>243.4</v>
      </c>
      <c r="R123" s="311"/>
      <c r="S123" s="66" t="str">
        <f t="shared" si="24"/>
        <v>LUK</v>
      </c>
      <c r="T123" s="45"/>
      <c r="U123" s="248"/>
      <c r="V123" s="67"/>
      <c r="W123" s="67"/>
    </row>
    <row r="124" spans="1:23" s="68" customFormat="1" ht="49.5" customHeight="1">
      <c r="A124" s="308"/>
      <c r="B124" s="33" t="s">
        <v>221</v>
      </c>
      <c r="C124" s="36">
        <v>128</v>
      </c>
      <c r="D124" s="36">
        <v>4</v>
      </c>
      <c r="E124" s="239">
        <v>360</v>
      </c>
      <c r="F124" s="34">
        <v>100</v>
      </c>
      <c r="G124" s="34">
        <v>28</v>
      </c>
      <c r="H124" s="35">
        <v>715.9</v>
      </c>
      <c r="I124" s="34" t="s">
        <v>45</v>
      </c>
      <c r="J124" s="36" t="s">
        <v>46</v>
      </c>
      <c r="K124" s="37">
        <v>360</v>
      </c>
      <c r="L124" s="38">
        <f>374.1-360</f>
        <v>14.100000000000023</v>
      </c>
      <c r="M124" s="38"/>
      <c r="N124" s="38"/>
      <c r="O124" s="38"/>
      <c r="P124" s="38"/>
      <c r="Q124" s="39">
        <f t="shared" ref="Q124" si="36">K124+L124+N124+O124+M124</f>
        <v>374.1</v>
      </c>
      <c r="R124" s="311"/>
      <c r="S124" s="66" t="str">
        <f t="shared" si="24"/>
        <v>LUC</v>
      </c>
      <c r="T124" s="45"/>
      <c r="U124" s="248"/>
      <c r="V124" s="67"/>
      <c r="W124" s="67"/>
    </row>
    <row r="125" spans="1:23" s="68" customFormat="1" ht="46.5" customHeight="1">
      <c r="A125" s="307">
        <v>44</v>
      </c>
      <c r="B125" s="33" t="s">
        <v>226</v>
      </c>
      <c r="C125" s="36"/>
      <c r="D125" s="36"/>
      <c r="E125" s="239"/>
      <c r="F125" s="34">
        <v>63</v>
      </c>
      <c r="G125" s="34">
        <v>28</v>
      </c>
      <c r="H125" s="35">
        <v>96.9</v>
      </c>
      <c r="I125" s="34" t="s">
        <v>55</v>
      </c>
      <c r="J125" s="36" t="s">
        <v>227</v>
      </c>
      <c r="K125" s="37"/>
      <c r="L125" s="38">
        <f t="shared" si="30"/>
        <v>96.9</v>
      </c>
      <c r="M125" s="38"/>
      <c r="N125" s="38"/>
      <c r="O125" s="38"/>
      <c r="P125" s="38"/>
      <c r="Q125" s="39">
        <f t="shared" ref="Q125:Q174" si="37">K125+L125+N125+O125+M125</f>
        <v>96.9</v>
      </c>
      <c r="R125" s="310">
        <f>SUM(Q125:Q129)</f>
        <v>665.6</v>
      </c>
      <c r="S125" s="66" t="str">
        <f t="shared" si="24"/>
        <v>BHK</v>
      </c>
      <c r="T125" s="45"/>
      <c r="U125" s="248"/>
      <c r="V125" s="67"/>
      <c r="W125" s="67"/>
    </row>
    <row r="126" spans="1:23" s="68" customFormat="1" ht="46.5" customHeight="1">
      <c r="A126" s="308"/>
      <c r="B126" s="33" t="s">
        <v>226</v>
      </c>
      <c r="C126" s="322">
        <v>105</v>
      </c>
      <c r="D126" s="322">
        <v>4</v>
      </c>
      <c r="E126" s="325">
        <v>360</v>
      </c>
      <c r="F126" s="34" t="s">
        <v>228</v>
      </c>
      <c r="G126" s="34" t="s">
        <v>99</v>
      </c>
      <c r="H126" s="35">
        <v>351.7</v>
      </c>
      <c r="I126" s="34" t="s">
        <v>45</v>
      </c>
      <c r="J126" s="36" t="s">
        <v>46</v>
      </c>
      <c r="K126" s="37">
        <v>351.7</v>
      </c>
      <c r="L126" s="38">
        <f t="shared" si="30"/>
        <v>0</v>
      </c>
      <c r="M126" s="38"/>
      <c r="N126" s="38"/>
      <c r="O126" s="38"/>
      <c r="P126" s="38"/>
      <c r="Q126" s="39">
        <f t="shared" si="37"/>
        <v>351.7</v>
      </c>
      <c r="R126" s="311"/>
      <c r="S126" s="66" t="str">
        <f t="shared" si="24"/>
        <v>LUC</v>
      </c>
      <c r="T126" s="45"/>
      <c r="U126" s="248"/>
      <c r="V126" s="67"/>
      <c r="W126" s="67"/>
    </row>
    <row r="127" spans="1:23" s="68" customFormat="1" ht="46.5" customHeight="1">
      <c r="A127" s="308"/>
      <c r="B127" s="33" t="s">
        <v>226</v>
      </c>
      <c r="C127" s="323"/>
      <c r="D127" s="323"/>
      <c r="E127" s="326"/>
      <c r="F127" s="34">
        <v>199</v>
      </c>
      <c r="G127" s="34" t="s">
        <v>99</v>
      </c>
      <c r="H127" s="35">
        <v>197.2</v>
      </c>
      <c r="I127" s="34" t="s">
        <v>45</v>
      </c>
      <c r="J127" s="36" t="s">
        <v>46</v>
      </c>
      <c r="K127" s="37">
        <v>4.7</v>
      </c>
      <c r="L127" s="38"/>
      <c r="M127" s="38"/>
      <c r="N127" s="38"/>
      <c r="O127" s="38"/>
      <c r="P127" s="38"/>
      <c r="Q127" s="39">
        <f t="shared" si="37"/>
        <v>4.7</v>
      </c>
      <c r="R127" s="311"/>
      <c r="S127" s="66" t="str">
        <f t="shared" si="24"/>
        <v>LUC</v>
      </c>
      <c r="T127" s="45"/>
      <c r="U127" s="248"/>
      <c r="V127" s="67"/>
      <c r="W127" s="67"/>
    </row>
    <row r="128" spans="1:23" s="68" customFormat="1" ht="46.5" customHeight="1">
      <c r="A128" s="308"/>
      <c r="B128" s="33" t="s">
        <v>226</v>
      </c>
      <c r="C128" s="324"/>
      <c r="D128" s="324"/>
      <c r="E128" s="327"/>
      <c r="F128" s="34">
        <v>145</v>
      </c>
      <c r="G128" s="34" t="s">
        <v>99</v>
      </c>
      <c r="H128" s="35">
        <v>555.79999999999995</v>
      </c>
      <c r="I128" s="34" t="s">
        <v>45</v>
      </c>
      <c r="J128" s="36" t="s">
        <v>46</v>
      </c>
      <c r="K128" s="37">
        <v>3.6</v>
      </c>
      <c r="L128" s="38"/>
      <c r="M128" s="38"/>
      <c r="N128" s="38"/>
      <c r="O128" s="38"/>
      <c r="P128" s="38"/>
      <c r="Q128" s="39">
        <f t="shared" si="37"/>
        <v>3.6</v>
      </c>
      <c r="R128" s="311"/>
      <c r="S128" s="66" t="str">
        <f t="shared" si="24"/>
        <v>LUC</v>
      </c>
      <c r="T128" s="45"/>
      <c r="U128" s="248"/>
      <c r="V128" s="67"/>
      <c r="W128" s="67"/>
    </row>
    <row r="129" spans="1:23" s="68" customFormat="1" ht="46.5" customHeight="1">
      <c r="A129" s="309"/>
      <c r="B129" s="33" t="s">
        <v>226</v>
      </c>
      <c r="C129" s="36">
        <v>192</v>
      </c>
      <c r="D129" s="36">
        <v>5</v>
      </c>
      <c r="E129" s="239">
        <v>192</v>
      </c>
      <c r="F129" s="34" t="s">
        <v>229</v>
      </c>
      <c r="G129" s="34" t="s">
        <v>99</v>
      </c>
      <c r="H129" s="35">
        <v>208.7</v>
      </c>
      <c r="I129" s="34" t="s">
        <v>49</v>
      </c>
      <c r="J129" s="36" t="s">
        <v>111</v>
      </c>
      <c r="K129" s="37">
        <f t="shared" si="29"/>
        <v>192</v>
      </c>
      <c r="L129" s="38">
        <f t="shared" ref="L129:L132" si="38">H129-K129</f>
        <v>16.699999999999989</v>
      </c>
      <c r="M129" s="38"/>
      <c r="N129" s="38"/>
      <c r="O129" s="38"/>
      <c r="P129" s="38"/>
      <c r="Q129" s="39">
        <f t="shared" si="37"/>
        <v>208.7</v>
      </c>
      <c r="R129" s="312"/>
      <c r="S129" s="66" t="str">
        <f t="shared" si="24"/>
        <v>LUK</v>
      </c>
      <c r="T129" s="45"/>
      <c r="U129" s="248"/>
      <c r="V129" s="67"/>
      <c r="W129" s="67"/>
    </row>
    <row r="130" spans="1:23" s="47" customFormat="1" ht="44.25" customHeight="1">
      <c r="A130" s="307">
        <v>45</v>
      </c>
      <c r="B130" s="33" t="s">
        <v>230</v>
      </c>
      <c r="C130" s="36"/>
      <c r="D130" s="36"/>
      <c r="E130" s="239"/>
      <c r="F130" s="34">
        <v>210</v>
      </c>
      <c r="G130" s="34">
        <v>21</v>
      </c>
      <c r="H130" s="35">
        <v>185.9</v>
      </c>
      <c r="I130" s="34" t="s">
        <v>55</v>
      </c>
      <c r="J130" s="36" t="s">
        <v>54</v>
      </c>
      <c r="K130" s="37"/>
      <c r="L130" s="38"/>
      <c r="M130" s="38">
        <v>185.9</v>
      </c>
      <c r="N130" s="38"/>
      <c r="O130" s="38"/>
      <c r="P130" s="38"/>
      <c r="Q130" s="39">
        <f t="shared" si="37"/>
        <v>185.9</v>
      </c>
      <c r="R130" s="310">
        <f>SUM(Q130:Q132)</f>
        <v>458.70000000000005</v>
      </c>
      <c r="S130" s="66" t="s">
        <v>553</v>
      </c>
      <c r="T130" s="45"/>
      <c r="U130" s="247"/>
      <c r="V130" s="46"/>
      <c r="W130" s="46"/>
    </row>
    <row r="131" spans="1:23" s="47" customFormat="1" ht="44.25" customHeight="1">
      <c r="A131" s="308"/>
      <c r="B131" s="33" t="s">
        <v>230</v>
      </c>
      <c r="C131" s="36">
        <v>4</v>
      </c>
      <c r="D131" s="36">
        <v>90</v>
      </c>
      <c r="E131" s="239">
        <v>196</v>
      </c>
      <c r="F131" s="34">
        <v>69</v>
      </c>
      <c r="G131" s="34">
        <v>28</v>
      </c>
      <c r="H131" s="35">
        <v>181.7</v>
      </c>
      <c r="I131" s="34" t="s">
        <v>55</v>
      </c>
      <c r="J131" s="36" t="s">
        <v>46</v>
      </c>
      <c r="K131" s="37">
        <v>181.7</v>
      </c>
      <c r="L131" s="38"/>
      <c r="M131" s="38"/>
      <c r="N131" s="38"/>
      <c r="O131" s="38"/>
      <c r="P131" s="38"/>
      <c r="Q131" s="39">
        <f t="shared" si="37"/>
        <v>181.7</v>
      </c>
      <c r="R131" s="311"/>
      <c r="S131" s="66" t="str">
        <f t="shared" ref="S131:S139" si="39">I131</f>
        <v>BHK</v>
      </c>
      <c r="T131" s="45"/>
      <c r="U131" s="247"/>
      <c r="V131" s="46"/>
      <c r="W131" s="46"/>
    </row>
    <row r="132" spans="1:23" s="47" customFormat="1" ht="44.25" customHeight="1">
      <c r="A132" s="309"/>
      <c r="B132" s="33" t="s">
        <v>230</v>
      </c>
      <c r="C132" s="36"/>
      <c r="D132" s="36"/>
      <c r="E132" s="239"/>
      <c r="F132" s="34">
        <v>28</v>
      </c>
      <c r="G132" s="34">
        <v>28</v>
      </c>
      <c r="H132" s="35">
        <v>91.1</v>
      </c>
      <c r="I132" s="34" t="s">
        <v>45</v>
      </c>
      <c r="J132" s="36" t="s">
        <v>60</v>
      </c>
      <c r="K132" s="37"/>
      <c r="L132" s="38">
        <f t="shared" si="38"/>
        <v>91.1</v>
      </c>
      <c r="M132" s="38"/>
      <c r="N132" s="38"/>
      <c r="O132" s="38"/>
      <c r="P132" s="38"/>
      <c r="Q132" s="39">
        <f t="shared" si="37"/>
        <v>91.1</v>
      </c>
      <c r="R132" s="312"/>
      <c r="S132" s="66" t="str">
        <f t="shared" si="39"/>
        <v>LUC</v>
      </c>
      <c r="T132" s="45"/>
      <c r="U132" s="247"/>
      <c r="V132" s="46"/>
      <c r="W132" s="46"/>
    </row>
    <row r="133" spans="1:23" s="47" customFormat="1" ht="49.5" customHeight="1">
      <c r="A133" s="32">
        <v>46</v>
      </c>
      <c r="B133" s="33" t="s">
        <v>233</v>
      </c>
      <c r="C133" s="36">
        <v>215</v>
      </c>
      <c r="D133" s="36">
        <v>5</v>
      </c>
      <c r="E133" s="239">
        <v>120</v>
      </c>
      <c r="F133" s="79">
        <v>85</v>
      </c>
      <c r="G133" s="79">
        <v>28</v>
      </c>
      <c r="H133" s="79">
        <v>124.7</v>
      </c>
      <c r="I133" s="79" t="s">
        <v>49</v>
      </c>
      <c r="J133" s="72" t="s">
        <v>50</v>
      </c>
      <c r="K133" s="37">
        <v>120</v>
      </c>
      <c r="L133" s="38">
        <f>H133-E133</f>
        <v>4.7000000000000028</v>
      </c>
      <c r="M133" s="38"/>
      <c r="N133" s="38"/>
      <c r="O133" s="38"/>
      <c r="P133" s="38"/>
      <c r="Q133" s="39">
        <f t="shared" si="37"/>
        <v>124.7</v>
      </c>
      <c r="R133" s="63">
        <f>Q133</f>
        <v>124.7</v>
      </c>
      <c r="S133" s="66" t="str">
        <f t="shared" si="39"/>
        <v>LUK</v>
      </c>
      <c r="T133" s="45"/>
      <c r="U133" s="247"/>
      <c r="V133" s="46"/>
      <c r="W133" s="46"/>
    </row>
    <row r="134" spans="1:23" s="68" customFormat="1" ht="42" customHeight="1">
      <c r="A134" s="307">
        <v>47</v>
      </c>
      <c r="B134" s="33" t="s">
        <v>235</v>
      </c>
      <c r="C134" s="36">
        <v>192</v>
      </c>
      <c r="D134" s="36">
        <v>5</v>
      </c>
      <c r="E134" s="239">
        <v>168</v>
      </c>
      <c r="F134" s="79" t="s">
        <v>236</v>
      </c>
      <c r="G134" s="79">
        <v>28</v>
      </c>
      <c r="H134" s="80">
        <v>226.7</v>
      </c>
      <c r="I134" s="79" t="s">
        <v>49</v>
      </c>
      <c r="J134" s="72" t="s">
        <v>57</v>
      </c>
      <c r="K134" s="37">
        <v>168</v>
      </c>
      <c r="L134" s="38">
        <f>226.7-168</f>
        <v>58.699999999999989</v>
      </c>
      <c r="M134" s="38"/>
      <c r="N134" s="38"/>
      <c r="O134" s="38"/>
      <c r="P134" s="38"/>
      <c r="Q134" s="39">
        <f t="shared" si="37"/>
        <v>226.7</v>
      </c>
      <c r="R134" s="310">
        <f>SUM(Q134:Q135)</f>
        <v>428.9</v>
      </c>
      <c r="S134" s="66" t="str">
        <f t="shared" si="39"/>
        <v>LUK</v>
      </c>
      <c r="T134" s="81"/>
      <c r="U134" s="248"/>
      <c r="V134" s="67"/>
      <c r="W134" s="67"/>
    </row>
    <row r="135" spans="1:23" s="68" customFormat="1" ht="46.5" customHeight="1">
      <c r="A135" s="309"/>
      <c r="B135" s="33" t="s">
        <v>235</v>
      </c>
      <c r="C135" s="82">
        <v>183</v>
      </c>
      <c r="D135" s="83">
        <v>5</v>
      </c>
      <c r="E135" s="84">
        <v>384</v>
      </c>
      <c r="F135" s="34" t="s">
        <v>238</v>
      </c>
      <c r="G135" s="34">
        <v>28</v>
      </c>
      <c r="H135" s="35">
        <v>202.2</v>
      </c>
      <c r="I135" s="34" t="s">
        <v>49</v>
      </c>
      <c r="J135" s="36" t="s">
        <v>57</v>
      </c>
      <c r="K135" s="37">
        <v>202.2</v>
      </c>
      <c r="L135" s="38"/>
      <c r="M135" s="38"/>
      <c r="N135" s="38"/>
      <c r="O135" s="38"/>
      <c r="P135" s="38"/>
      <c r="Q135" s="39">
        <f t="shared" si="37"/>
        <v>202.2</v>
      </c>
      <c r="R135" s="311"/>
      <c r="S135" s="66" t="str">
        <f t="shared" si="39"/>
        <v>LUK</v>
      </c>
      <c r="T135" s="45"/>
      <c r="U135" s="248"/>
      <c r="V135" s="67"/>
      <c r="W135" s="67"/>
    </row>
    <row r="136" spans="1:23" s="68" customFormat="1" ht="63" customHeight="1">
      <c r="A136" s="307">
        <v>48</v>
      </c>
      <c r="B136" s="33" t="s">
        <v>240</v>
      </c>
      <c r="C136" s="82">
        <v>183</v>
      </c>
      <c r="D136" s="83">
        <v>5</v>
      </c>
      <c r="E136" s="84">
        <v>384</v>
      </c>
      <c r="F136" s="34">
        <v>456</v>
      </c>
      <c r="G136" s="34">
        <v>28</v>
      </c>
      <c r="H136" s="35">
        <v>217.5</v>
      </c>
      <c r="I136" s="34" t="s">
        <v>49</v>
      </c>
      <c r="J136" s="36" t="s">
        <v>57</v>
      </c>
      <c r="K136" s="37">
        <f>384-202.2</f>
        <v>181.8</v>
      </c>
      <c r="L136" s="38">
        <f>217.5-181.8</f>
        <v>35.699999999999989</v>
      </c>
      <c r="M136" s="38"/>
      <c r="N136" s="38"/>
      <c r="O136" s="38"/>
      <c r="P136" s="38"/>
      <c r="Q136" s="39">
        <f t="shared" si="37"/>
        <v>217.5</v>
      </c>
      <c r="R136" s="316">
        <f>SUM(Q136:Q138)</f>
        <v>555.79999999999995</v>
      </c>
      <c r="S136" s="66" t="str">
        <f t="shared" si="39"/>
        <v>LUK</v>
      </c>
      <c r="T136" s="45"/>
      <c r="U136" s="248"/>
      <c r="V136" s="67"/>
      <c r="W136" s="67"/>
    </row>
    <row r="137" spans="1:23" s="68" customFormat="1" ht="57" customHeight="1">
      <c r="A137" s="308"/>
      <c r="B137" s="33" t="s">
        <v>240</v>
      </c>
      <c r="C137" s="36">
        <v>191</v>
      </c>
      <c r="D137" s="36">
        <v>5</v>
      </c>
      <c r="E137" s="239">
        <v>72</v>
      </c>
      <c r="F137" s="34">
        <v>220</v>
      </c>
      <c r="G137" s="34">
        <v>28</v>
      </c>
      <c r="H137" s="35">
        <v>175.8</v>
      </c>
      <c r="I137" s="34" t="s">
        <v>45</v>
      </c>
      <c r="J137" s="36" t="s">
        <v>242</v>
      </c>
      <c r="K137" s="37">
        <f>E137</f>
        <v>72</v>
      </c>
      <c r="L137" s="38">
        <f>175.8-72</f>
        <v>103.80000000000001</v>
      </c>
      <c r="M137" s="38"/>
      <c r="N137" s="38"/>
      <c r="O137" s="38"/>
      <c r="P137" s="38"/>
      <c r="Q137" s="39">
        <f t="shared" si="37"/>
        <v>175.8</v>
      </c>
      <c r="R137" s="316"/>
      <c r="S137" s="66" t="str">
        <f t="shared" si="39"/>
        <v>LUC</v>
      </c>
      <c r="T137" s="81"/>
      <c r="U137" s="248"/>
      <c r="V137" s="67"/>
      <c r="W137" s="67"/>
    </row>
    <row r="138" spans="1:23" s="68" customFormat="1" ht="57.75" customHeight="1">
      <c r="A138" s="309"/>
      <c r="B138" s="33" t="s">
        <v>240</v>
      </c>
      <c r="C138" s="36">
        <v>119</v>
      </c>
      <c r="D138" s="36">
        <v>4</v>
      </c>
      <c r="E138" s="239">
        <v>192</v>
      </c>
      <c r="F138" s="34">
        <v>277</v>
      </c>
      <c r="G138" s="34">
        <v>28</v>
      </c>
      <c r="H138" s="35">
        <v>162.5</v>
      </c>
      <c r="I138" s="34" t="s">
        <v>49</v>
      </c>
      <c r="J138" s="36" t="s">
        <v>63</v>
      </c>
      <c r="K138" s="37">
        <v>162.5</v>
      </c>
      <c r="L138" s="38"/>
      <c r="M138" s="38"/>
      <c r="N138" s="38"/>
      <c r="O138" s="38"/>
      <c r="P138" s="38"/>
      <c r="Q138" s="39">
        <f t="shared" si="37"/>
        <v>162.5</v>
      </c>
      <c r="R138" s="316"/>
      <c r="S138" s="66" t="str">
        <f t="shared" si="39"/>
        <v>LUK</v>
      </c>
      <c r="T138" s="45"/>
      <c r="U138" s="248"/>
      <c r="V138" s="67"/>
      <c r="W138" s="67"/>
    </row>
    <row r="139" spans="1:23" s="47" customFormat="1" ht="49.5" customHeight="1">
      <c r="A139" s="307">
        <v>49</v>
      </c>
      <c r="B139" s="33" t="s">
        <v>243</v>
      </c>
      <c r="C139" s="36">
        <v>205</v>
      </c>
      <c r="D139" s="36">
        <v>5</v>
      </c>
      <c r="E139" s="239">
        <v>264</v>
      </c>
      <c r="F139" s="34">
        <v>89</v>
      </c>
      <c r="G139" s="34">
        <v>28</v>
      </c>
      <c r="H139" s="35">
        <v>275.3</v>
      </c>
      <c r="I139" s="34" t="s">
        <v>49</v>
      </c>
      <c r="J139" s="36" t="s">
        <v>50</v>
      </c>
      <c r="K139" s="37">
        <f>E139</f>
        <v>264</v>
      </c>
      <c r="L139" s="38">
        <f>H139-K139</f>
        <v>11.300000000000011</v>
      </c>
      <c r="M139" s="38"/>
      <c r="N139" s="38"/>
      <c r="O139" s="38"/>
      <c r="P139" s="38"/>
      <c r="Q139" s="39">
        <f t="shared" si="37"/>
        <v>275.3</v>
      </c>
      <c r="R139" s="310">
        <f>SUM(Q139:Q140)</f>
        <v>407.5</v>
      </c>
      <c r="S139" s="66" t="str">
        <f t="shared" si="39"/>
        <v>LUK</v>
      </c>
      <c r="T139" s="45"/>
      <c r="U139" s="247"/>
      <c r="V139" s="46"/>
      <c r="W139" s="46"/>
    </row>
    <row r="140" spans="1:23" s="68" customFormat="1" ht="49.5" customHeight="1">
      <c r="A140" s="309"/>
      <c r="B140" s="33" t="s">
        <v>243</v>
      </c>
      <c r="C140" s="36"/>
      <c r="D140" s="36"/>
      <c r="E140" s="239"/>
      <c r="F140" s="70" t="s">
        <v>245</v>
      </c>
      <c r="G140" s="48" t="s">
        <v>99</v>
      </c>
      <c r="H140" s="71">
        <v>132.19999999999999</v>
      </c>
      <c r="I140" s="34" t="s">
        <v>49</v>
      </c>
      <c r="J140" s="36" t="s">
        <v>50</v>
      </c>
      <c r="K140" s="37"/>
      <c r="L140" s="38"/>
      <c r="M140" s="38">
        <v>132.19999999999999</v>
      </c>
      <c r="N140" s="38"/>
      <c r="O140" s="38"/>
      <c r="P140" s="38"/>
      <c r="Q140" s="39">
        <f t="shared" si="37"/>
        <v>132.19999999999999</v>
      </c>
      <c r="R140" s="312"/>
      <c r="S140" s="66" t="s">
        <v>553</v>
      </c>
      <c r="T140" s="45"/>
      <c r="U140" s="248"/>
      <c r="V140" s="67"/>
      <c r="W140" s="67"/>
    </row>
    <row r="141" spans="1:23" s="47" customFormat="1" ht="49.5" customHeight="1">
      <c r="A141" s="151">
        <v>50</v>
      </c>
      <c r="B141" s="33" t="s">
        <v>247</v>
      </c>
      <c r="C141" s="36">
        <v>211</v>
      </c>
      <c r="D141" s="36">
        <v>4</v>
      </c>
      <c r="E141" s="239">
        <v>300</v>
      </c>
      <c r="F141" s="34">
        <v>529</v>
      </c>
      <c r="G141" s="34">
        <v>28</v>
      </c>
      <c r="H141" s="35">
        <v>331.3</v>
      </c>
      <c r="I141" s="34" t="s">
        <v>49</v>
      </c>
      <c r="J141" s="36" t="s">
        <v>57</v>
      </c>
      <c r="K141" s="37">
        <v>300</v>
      </c>
      <c r="L141" s="38"/>
      <c r="M141" s="38"/>
      <c r="N141" s="38"/>
      <c r="O141" s="38"/>
      <c r="P141" s="38"/>
      <c r="Q141" s="39">
        <f t="shared" si="37"/>
        <v>300</v>
      </c>
      <c r="R141" s="59">
        <f t="shared" ref="R141" si="40">Q141</f>
        <v>300</v>
      </c>
      <c r="S141" s="66" t="str">
        <f>I141</f>
        <v>LUK</v>
      </c>
      <c r="T141" s="45"/>
      <c r="U141" s="247"/>
      <c r="V141" s="46"/>
      <c r="W141" s="46"/>
    </row>
    <row r="142" spans="1:23" s="68" customFormat="1" ht="49.5" customHeight="1">
      <c r="A142" s="307">
        <v>51</v>
      </c>
      <c r="B142" s="33" t="s">
        <v>252</v>
      </c>
      <c r="C142" s="36"/>
      <c r="D142" s="36"/>
      <c r="E142" s="239"/>
      <c r="F142" s="34">
        <v>60</v>
      </c>
      <c r="G142" s="34">
        <v>28</v>
      </c>
      <c r="H142" s="35">
        <v>113.3</v>
      </c>
      <c r="I142" s="34" t="s">
        <v>55</v>
      </c>
      <c r="J142" s="36" t="s">
        <v>56</v>
      </c>
      <c r="K142" s="37"/>
      <c r="L142" s="38"/>
      <c r="M142" s="38">
        <v>113.3</v>
      </c>
      <c r="N142" s="38"/>
      <c r="O142" s="38"/>
      <c r="P142" s="38"/>
      <c r="Q142" s="39">
        <f t="shared" si="37"/>
        <v>113.3</v>
      </c>
      <c r="R142" s="310">
        <f>SUM(Q142:Q146)</f>
        <v>994.70000000000016</v>
      </c>
      <c r="S142" s="66" t="s">
        <v>553</v>
      </c>
      <c r="T142" s="81"/>
      <c r="U142" s="248"/>
      <c r="V142" s="67"/>
      <c r="W142" s="67"/>
    </row>
    <row r="143" spans="1:23" s="68" customFormat="1" ht="49.5" customHeight="1">
      <c r="A143" s="308"/>
      <c r="B143" s="33" t="s">
        <v>252</v>
      </c>
      <c r="C143" s="36"/>
      <c r="D143" s="36"/>
      <c r="E143" s="239"/>
      <c r="F143" s="34" t="s">
        <v>254</v>
      </c>
      <c r="G143" s="34">
        <v>28</v>
      </c>
      <c r="H143" s="35">
        <v>61.4</v>
      </c>
      <c r="I143" s="34" t="s">
        <v>45</v>
      </c>
      <c r="J143" s="36" t="s">
        <v>60</v>
      </c>
      <c r="K143" s="37"/>
      <c r="L143" s="38"/>
      <c r="M143" s="38">
        <v>61.4</v>
      </c>
      <c r="N143" s="38"/>
      <c r="O143" s="38"/>
      <c r="P143" s="38"/>
      <c r="Q143" s="39">
        <f t="shared" si="37"/>
        <v>61.4</v>
      </c>
      <c r="R143" s="311"/>
      <c r="S143" s="66" t="s">
        <v>553</v>
      </c>
      <c r="T143" s="81"/>
      <c r="U143" s="248"/>
      <c r="V143" s="67"/>
      <c r="W143" s="67"/>
    </row>
    <row r="144" spans="1:23" s="68" customFormat="1" ht="49.5" customHeight="1">
      <c r="A144" s="308"/>
      <c r="B144" s="33" t="s">
        <v>252</v>
      </c>
      <c r="C144" s="36">
        <v>105</v>
      </c>
      <c r="D144" s="36">
        <v>4</v>
      </c>
      <c r="E144" s="239">
        <v>504</v>
      </c>
      <c r="F144" s="34" t="s">
        <v>256</v>
      </c>
      <c r="G144" s="34">
        <v>28</v>
      </c>
      <c r="H144" s="35">
        <v>555.79999999999995</v>
      </c>
      <c r="I144" s="34" t="s">
        <v>45</v>
      </c>
      <c r="J144" s="36" t="s">
        <v>50</v>
      </c>
      <c r="K144" s="37">
        <f t="shared" ref="K144" si="41">E144</f>
        <v>504</v>
      </c>
      <c r="L144" s="38">
        <f>512.7-504</f>
        <v>8.7000000000000455</v>
      </c>
      <c r="M144" s="38"/>
      <c r="N144" s="38"/>
      <c r="O144" s="38"/>
      <c r="P144" s="38"/>
      <c r="Q144" s="39">
        <f t="shared" si="37"/>
        <v>512.70000000000005</v>
      </c>
      <c r="R144" s="311"/>
      <c r="S144" s="66" t="str">
        <f>I144</f>
        <v>LUC</v>
      </c>
      <c r="T144" s="45"/>
      <c r="U144" s="248"/>
      <c r="V144" s="67"/>
      <c r="W144" s="67"/>
    </row>
    <row r="145" spans="1:23" s="68" customFormat="1" ht="49.5" customHeight="1">
      <c r="A145" s="309"/>
      <c r="B145" s="33" t="s">
        <v>252</v>
      </c>
      <c r="C145" s="36"/>
      <c r="D145" s="36"/>
      <c r="E145" s="239"/>
      <c r="F145" s="34" t="s">
        <v>259</v>
      </c>
      <c r="G145" s="34">
        <v>21</v>
      </c>
      <c r="H145" s="35">
        <v>136.5</v>
      </c>
      <c r="I145" s="34" t="s">
        <v>49</v>
      </c>
      <c r="J145" s="36" t="s">
        <v>260</v>
      </c>
      <c r="K145" s="37"/>
      <c r="L145" s="38"/>
      <c r="M145" s="38">
        <v>31.2</v>
      </c>
      <c r="N145" s="38"/>
      <c r="O145" s="38"/>
      <c r="P145" s="38"/>
      <c r="Q145" s="39">
        <f t="shared" si="37"/>
        <v>31.2</v>
      </c>
      <c r="R145" s="311"/>
      <c r="S145" s="66" t="s">
        <v>553</v>
      </c>
      <c r="T145" s="45"/>
      <c r="U145" s="248"/>
      <c r="V145" s="67"/>
      <c r="W145" s="67"/>
    </row>
    <row r="146" spans="1:23" s="68" customFormat="1" ht="60" customHeight="1">
      <c r="A146" s="32">
        <v>52</v>
      </c>
      <c r="B146" s="33" t="s">
        <v>263</v>
      </c>
      <c r="C146" s="36">
        <v>92</v>
      </c>
      <c r="D146" s="36">
        <v>4</v>
      </c>
      <c r="E146" s="239">
        <v>240</v>
      </c>
      <c r="F146" s="34" t="s">
        <v>264</v>
      </c>
      <c r="G146" s="34">
        <v>28</v>
      </c>
      <c r="H146" s="35">
        <v>276.10000000000002</v>
      </c>
      <c r="I146" s="34" t="s">
        <v>55</v>
      </c>
      <c r="J146" s="36" t="s">
        <v>60</v>
      </c>
      <c r="K146" s="37">
        <f t="shared" ref="K146:K147" si="42">E146</f>
        <v>240</v>
      </c>
      <c r="L146" s="38">
        <f>276.1-240</f>
        <v>36.100000000000023</v>
      </c>
      <c r="M146" s="38"/>
      <c r="N146" s="38"/>
      <c r="O146" s="38"/>
      <c r="P146" s="38"/>
      <c r="Q146" s="39">
        <f t="shared" si="37"/>
        <v>276.10000000000002</v>
      </c>
      <c r="R146" s="312"/>
      <c r="S146" s="66" t="str">
        <f t="shared" ref="S146:S188" si="43">I146</f>
        <v>BHK</v>
      </c>
      <c r="T146" s="45"/>
      <c r="U146" s="248"/>
      <c r="V146" s="67"/>
      <c r="W146" s="67"/>
    </row>
    <row r="147" spans="1:23" s="47" customFormat="1" ht="57" customHeight="1">
      <c r="A147" s="151">
        <v>53</v>
      </c>
      <c r="B147" s="33" t="s">
        <v>265</v>
      </c>
      <c r="C147" s="36">
        <v>122</v>
      </c>
      <c r="D147" s="36">
        <v>4</v>
      </c>
      <c r="E147" s="239">
        <v>192</v>
      </c>
      <c r="F147" s="34">
        <v>351</v>
      </c>
      <c r="G147" s="34">
        <v>28</v>
      </c>
      <c r="H147" s="35">
        <v>206</v>
      </c>
      <c r="I147" s="34" t="s">
        <v>49</v>
      </c>
      <c r="J147" s="36" t="s">
        <v>57</v>
      </c>
      <c r="K147" s="37">
        <f t="shared" si="42"/>
        <v>192</v>
      </c>
      <c r="L147" s="38">
        <f>H147-K147</f>
        <v>14</v>
      </c>
      <c r="M147" s="38"/>
      <c r="N147" s="38"/>
      <c r="O147" s="38"/>
      <c r="P147" s="38"/>
      <c r="Q147" s="39">
        <f t="shared" si="37"/>
        <v>206</v>
      </c>
      <c r="R147" s="59">
        <f>Q147</f>
        <v>206</v>
      </c>
      <c r="S147" s="66" t="str">
        <f t="shared" si="43"/>
        <v>LUK</v>
      </c>
      <c r="T147" s="45"/>
      <c r="U147" s="247"/>
      <c r="V147" s="46"/>
      <c r="W147" s="46"/>
    </row>
    <row r="148" spans="1:23" s="47" customFormat="1" ht="64.5" customHeight="1">
      <c r="A148" s="307">
        <v>54</v>
      </c>
      <c r="B148" s="33" t="s">
        <v>267</v>
      </c>
      <c r="C148" s="36">
        <v>56</v>
      </c>
      <c r="D148" s="36">
        <v>4</v>
      </c>
      <c r="E148" s="239">
        <v>312</v>
      </c>
      <c r="F148" s="34" t="s">
        <v>268</v>
      </c>
      <c r="G148" s="34">
        <v>28</v>
      </c>
      <c r="H148" s="35">
        <v>438.6</v>
      </c>
      <c r="I148" s="34" t="s">
        <v>45</v>
      </c>
      <c r="J148" s="36" t="s">
        <v>54</v>
      </c>
      <c r="K148" s="37">
        <f>312</f>
        <v>312</v>
      </c>
      <c r="L148" s="38">
        <f>H148-K148</f>
        <v>126.60000000000002</v>
      </c>
      <c r="M148" s="38"/>
      <c r="N148" s="38"/>
      <c r="O148" s="38"/>
      <c r="P148" s="38"/>
      <c r="Q148" s="39">
        <f t="shared" si="37"/>
        <v>438.6</v>
      </c>
      <c r="R148" s="310">
        <f>SUM(Q148:Q149)</f>
        <v>510.70000000000005</v>
      </c>
      <c r="S148" s="66" t="str">
        <f t="shared" si="43"/>
        <v>LUC</v>
      </c>
      <c r="T148" s="45"/>
      <c r="U148" s="247"/>
      <c r="V148" s="46"/>
      <c r="W148" s="46"/>
    </row>
    <row r="149" spans="1:23" s="47" customFormat="1" ht="64.5" customHeight="1">
      <c r="A149" s="309"/>
      <c r="B149" s="33" t="s">
        <v>267</v>
      </c>
      <c r="C149" s="36">
        <v>188</v>
      </c>
      <c r="D149" s="36">
        <v>5</v>
      </c>
      <c r="E149" s="239">
        <v>72</v>
      </c>
      <c r="F149" s="34" t="s">
        <v>272</v>
      </c>
      <c r="G149" s="34">
        <v>28</v>
      </c>
      <c r="H149" s="35">
        <v>72.099999999999994</v>
      </c>
      <c r="I149" s="34" t="s">
        <v>49</v>
      </c>
      <c r="J149" s="36" t="s">
        <v>273</v>
      </c>
      <c r="K149" s="37">
        <f t="shared" ref="K149:K167" si="44">E149</f>
        <v>72</v>
      </c>
      <c r="L149" s="38">
        <v>0.1</v>
      </c>
      <c r="M149" s="38"/>
      <c r="N149" s="38"/>
      <c r="O149" s="38"/>
      <c r="P149" s="38"/>
      <c r="Q149" s="39">
        <f t="shared" si="37"/>
        <v>72.099999999999994</v>
      </c>
      <c r="R149" s="312"/>
      <c r="S149" s="66" t="str">
        <f t="shared" si="43"/>
        <v>LUK</v>
      </c>
      <c r="T149" s="45"/>
      <c r="U149" s="247"/>
      <c r="V149" s="46"/>
      <c r="W149" s="46"/>
    </row>
    <row r="150" spans="1:23" s="47" customFormat="1" ht="64.5" customHeight="1">
      <c r="A150" s="32">
        <v>55</v>
      </c>
      <c r="B150" s="33" t="s">
        <v>275</v>
      </c>
      <c r="C150" s="36">
        <v>84</v>
      </c>
      <c r="D150" s="36">
        <v>4</v>
      </c>
      <c r="E150" s="239">
        <v>72</v>
      </c>
      <c r="F150" s="34">
        <v>127</v>
      </c>
      <c r="G150" s="34">
        <v>28</v>
      </c>
      <c r="H150" s="35" t="s">
        <v>276</v>
      </c>
      <c r="I150" s="34" t="s">
        <v>55</v>
      </c>
      <c r="J150" s="36" t="s">
        <v>60</v>
      </c>
      <c r="K150" s="37">
        <f t="shared" si="44"/>
        <v>72</v>
      </c>
      <c r="L150" s="38">
        <f>91.2-72</f>
        <v>19.200000000000003</v>
      </c>
      <c r="M150" s="38"/>
      <c r="N150" s="38"/>
      <c r="O150" s="38"/>
      <c r="P150" s="38"/>
      <c r="Q150" s="39">
        <f t="shared" si="37"/>
        <v>91.2</v>
      </c>
      <c r="R150" s="63">
        <f>Q150</f>
        <v>91.2</v>
      </c>
      <c r="S150" s="66" t="str">
        <f t="shared" si="43"/>
        <v>BHK</v>
      </c>
      <c r="T150" s="45"/>
      <c r="U150" s="247"/>
      <c r="V150" s="46"/>
      <c r="W150" s="46"/>
    </row>
    <row r="151" spans="1:23" s="47" customFormat="1" ht="64.5" customHeight="1">
      <c r="A151" s="307">
        <v>56</v>
      </c>
      <c r="B151" s="33" t="s">
        <v>277</v>
      </c>
      <c r="C151" s="36">
        <v>82</v>
      </c>
      <c r="D151" s="36">
        <v>4</v>
      </c>
      <c r="E151" s="239">
        <v>540</v>
      </c>
      <c r="F151" s="34">
        <v>305</v>
      </c>
      <c r="G151" s="34">
        <v>28</v>
      </c>
      <c r="H151" s="35">
        <v>461.5</v>
      </c>
      <c r="I151" s="34" t="s">
        <v>45</v>
      </c>
      <c r="J151" s="36" t="s">
        <v>46</v>
      </c>
      <c r="K151" s="37">
        <v>461.5</v>
      </c>
      <c r="L151" s="38"/>
      <c r="M151" s="38"/>
      <c r="N151" s="38"/>
      <c r="O151" s="38"/>
      <c r="P151" s="38"/>
      <c r="Q151" s="39">
        <f t="shared" si="37"/>
        <v>461.5</v>
      </c>
      <c r="R151" s="310" t="e">
        <f>SUM(Q151:Q155)</f>
        <v>#VALUE!</v>
      </c>
      <c r="S151" s="66" t="str">
        <f t="shared" si="43"/>
        <v>LUC</v>
      </c>
      <c r="T151" s="45"/>
      <c r="U151" s="247"/>
      <c r="V151" s="46"/>
      <c r="W151" s="46"/>
    </row>
    <row r="152" spans="1:23" s="47" customFormat="1" ht="82.5" customHeight="1">
      <c r="A152" s="309"/>
      <c r="B152" s="33" t="s">
        <v>277</v>
      </c>
      <c r="C152" s="36">
        <v>82</v>
      </c>
      <c r="D152" s="36">
        <v>4</v>
      </c>
      <c r="E152" s="239">
        <v>540</v>
      </c>
      <c r="F152" s="34">
        <v>272</v>
      </c>
      <c r="G152" s="34">
        <v>28</v>
      </c>
      <c r="H152" s="35" t="s">
        <v>278</v>
      </c>
      <c r="I152" s="34" t="s">
        <v>45</v>
      </c>
      <c r="J152" s="36" t="s">
        <v>60</v>
      </c>
      <c r="K152" s="37">
        <v>78.5</v>
      </c>
      <c r="L152" s="38"/>
      <c r="M152" s="38"/>
      <c r="N152" s="38"/>
      <c r="O152" s="38"/>
      <c r="P152" s="38"/>
      <c r="Q152" s="39">
        <f t="shared" si="37"/>
        <v>78.5</v>
      </c>
      <c r="R152" s="311"/>
      <c r="S152" s="66" t="str">
        <f t="shared" si="43"/>
        <v>LUC</v>
      </c>
      <c r="T152" s="45"/>
      <c r="U152" s="247"/>
      <c r="V152" s="46"/>
      <c r="W152" s="46"/>
    </row>
    <row r="153" spans="1:23" s="47" customFormat="1" ht="49.5" customHeight="1">
      <c r="A153" s="307">
        <v>57</v>
      </c>
      <c r="B153" s="33" t="s">
        <v>279</v>
      </c>
      <c r="C153" s="36">
        <v>82</v>
      </c>
      <c r="D153" s="36">
        <v>4</v>
      </c>
      <c r="E153" s="239">
        <v>180</v>
      </c>
      <c r="F153" s="34">
        <v>272</v>
      </c>
      <c r="G153" s="34">
        <v>28</v>
      </c>
      <c r="H153" s="35" t="s">
        <v>278</v>
      </c>
      <c r="I153" s="34" t="s">
        <v>45</v>
      </c>
      <c r="J153" s="36" t="s">
        <v>60</v>
      </c>
      <c r="K153" s="37">
        <f t="shared" si="44"/>
        <v>180</v>
      </c>
      <c r="L153" s="38">
        <v>70.5</v>
      </c>
      <c r="M153" s="38"/>
      <c r="N153" s="38"/>
      <c r="O153" s="38"/>
      <c r="P153" s="38"/>
      <c r="Q153" s="39">
        <f t="shared" si="37"/>
        <v>250.5</v>
      </c>
      <c r="R153" s="311"/>
      <c r="S153" s="66" t="str">
        <f t="shared" si="43"/>
        <v>LUC</v>
      </c>
      <c r="T153" s="45"/>
      <c r="U153" s="247"/>
      <c r="V153" s="46"/>
      <c r="W153" s="46"/>
    </row>
    <row r="154" spans="1:23" s="47" customFormat="1" ht="49.5" customHeight="1">
      <c r="A154" s="308"/>
      <c r="B154" s="33" t="s">
        <v>279</v>
      </c>
      <c r="C154" s="36">
        <v>84</v>
      </c>
      <c r="D154" s="36">
        <v>4</v>
      </c>
      <c r="E154" s="239">
        <v>144</v>
      </c>
      <c r="F154" s="34">
        <v>150</v>
      </c>
      <c r="G154" s="34">
        <v>28</v>
      </c>
      <c r="H154" s="35" t="s">
        <v>280</v>
      </c>
      <c r="I154" s="34" t="s">
        <v>55</v>
      </c>
      <c r="J154" s="36" t="s">
        <v>60</v>
      </c>
      <c r="K154" s="37">
        <f t="shared" si="44"/>
        <v>144</v>
      </c>
      <c r="L154" s="38">
        <v>0.3</v>
      </c>
      <c r="M154" s="38"/>
      <c r="N154" s="38"/>
      <c r="O154" s="38"/>
      <c r="P154" s="38"/>
      <c r="Q154" s="39">
        <f t="shared" si="37"/>
        <v>144.30000000000001</v>
      </c>
      <c r="R154" s="311"/>
      <c r="S154" s="66" t="str">
        <f t="shared" si="43"/>
        <v>BHK</v>
      </c>
      <c r="T154" s="45"/>
      <c r="U154" s="247"/>
      <c r="V154" s="46"/>
      <c r="W154" s="46"/>
    </row>
    <row r="155" spans="1:23" s="47" customFormat="1" ht="49.5" customHeight="1">
      <c r="A155" s="309"/>
      <c r="B155" s="33" t="s">
        <v>279</v>
      </c>
      <c r="C155" s="36">
        <v>42</v>
      </c>
      <c r="D155" s="36">
        <v>4</v>
      </c>
      <c r="E155" s="239">
        <v>288</v>
      </c>
      <c r="F155" s="34">
        <v>233</v>
      </c>
      <c r="G155" s="34">
        <v>21</v>
      </c>
      <c r="H155" s="35" t="s">
        <v>281</v>
      </c>
      <c r="I155" s="34" t="s">
        <v>45</v>
      </c>
      <c r="J155" s="36" t="s">
        <v>54</v>
      </c>
      <c r="K155" s="37">
        <f t="shared" si="44"/>
        <v>288</v>
      </c>
      <c r="L155" s="38" t="e">
        <f>H155-K155</f>
        <v>#VALUE!</v>
      </c>
      <c r="M155" s="38"/>
      <c r="N155" s="38"/>
      <c r="O155" s="38"/>
      <c r="P155" s="38"/>
      <c r="Q155" s="39" t="e">
        <f t="shared" si="37"/>
        <v>#VALUE!</v>
      </c>
      <c r="R155" s="312"/>
      <c r="S155" s="66" t="str">
        <f t="shared" si="43"/>
        <v>LUC</v>
      </c>
      <c r="T155" s="45"/>
      <c r="U155" s="247"/>
      <c r="V155" s="46"/>
      <c r="W155" s="46"/>
    </row>
    <row r="156" spans="1:23" s="47" customFormat="1" ht="49.5" customHeight="1">
      <c r="A156" s="307">
        <v>58</v>
      </c>
      <c r="B156" s="33" t="s">
        <v>282</v>
      </c>
      <c r="C156" s="36"/>
      <c r="D156" s="36"/>
      <c r="E156" s="239"/>
      <c r="F156" s="34">
        <v>248</v>
      </c>
      <c r="G156" s="34">
        <v>21</v>
      </c>
      <c r="H156" s="35">
        <v>120.3</v>
      </c>
      <c r="I156" s="34" t="s">
        <v>45</v>
      </c>
      <c r="J156" s="36" t="s">
        <v>54</v>
      </c>
      <c r="K156" s="37"/>
      <c r="L156" s="38">
        <v>120.3</v>
      </c>
      <c r="M156" s="38"/>
      <c r="N156" s="38"/>
      <c r="O156" s="38"/>
      <c r="P156" s="38"/>
      <c r="Q156" s="39">
        <f t="shared" si="37"/>
        <v>120.3</v>
      </c>
      <c r="R156" s="316">
        <f>SUM(Q156:Q159)</f>
        <v>861.50000000000011</v>
      </c>
      <c r="S156" s="66" t="str">
        <f t="shared" si="43"/>
        <v>LUC</v>
      </c>
      <c r="T156" s="45"/>
      <c r="U156" s="247"/>
      <c r="V156" s="46"/>
      <c r="W156" s="46"/>
    </row>
    <row r="157" spans="1:23" s="47" customFormat="1" ht="49.5" customHeight="1">
      <c r="A157" s="308"/>
      <c r="B157" s="33" t="s">
        <v>282</v>
      </c>
      <c r="C157" s="36">
        <v>76</v>
      </c>
      <c r="D157" s="36">
        <v>4</v>
      </c>
      <c r="E157" s="239">
        <v>120</v>
      </c>
      <c r="F157" s="34">
        <v>102</v>
      </c>
      <c r="G157" s="34">
        <v>28</v>
      </c>
      <c r="H157" s="35">
        <v>245.3</v>
      </c>
      <c r="I157" s="34" t="s">
        <v>55</v>
      </c>
      <c r="J157" s="36" t="s">
        <v>56</v>
      </c>
      <c r="K157" s="37">
        <f t="shared" si="44"/>
        <v>120</v>
      </c>
      <c r="L157" s="38">
        <f>H157-K157</f>
        <v>125.30000000000001</v>
      </c>
      <c r="M157" s="38"/>
      <c r="N157" s="38"/>
      <c r="O157" s="38"/>
      <c r="P157" s="38"/>
      <c r="Q157" s="39">
        <f t="shared" si="37"/>
        <v>245.3</v>
      </c>
      <c r="R157" s="316"/>
      <c r="S157" s="66" t="str">
        <f t="shared" si="43"/>
        <v>BHK</v>
      </c>
      <c r="T157" s="45"/>
      <c r="U157" s="247"/>
      <c r="V157" s="46"/>
      <c r="W157" s="46"/>
    </row>
    <row r="158" spans="1:23" s="47" customFormat="1" ht="49.5" customHeight="1">
      <c r="A158" s="308"/>
      <c r="B158" s="33" t="s">
        <v>282</v>
      </c>
      <c r="C158" s="36">
        <v>54</v>
      </c>
      <c r="D158" s="36">
        <v>4</v>
      </c>
      <c r="E158" s="239">
        <v>360</v>
      </c>
      <c r="F158" s="34">
        <v>22</v>
      </c>
      <c r="G158" s="34">
        <v>28</v>
      </c>
      <c r="H158" s="35">
        <v>373.8</v>
      </c>
      <c r="I158" s="34" t="s">
        <v>45</v>
      </c>
      <c r="J158" s="36" t="s">
        <v>54</v>
      </c>
      <c r="K158" s="37">
        <f t="shared" si="44"/>
        <v>360</v>
      </c>
      <c r="L158" s="38">
        <f>H158-E158</f>
        <v>13.800000000000011</v>
      </c>
      <c r="M158" s="38"/>
      <c r="N158" s="38"/>
      <c r="O158" s="38"/>
      <c r="P158" s="38"/>
      <c r="Q158" s="39">
        <f t="shared" si="37"/>
        <v>373.8</v>
      </c>
      <c r="R158" s="316"/>
      <c r="S158" s="66" t="str">
        <f t="shared" si="43"/>
        <v>LUC</v>
      </c>
      <c r="T158" s="45"/>
      <c r="U158" s="247"/>
      <c r="V158" s="46"/>
      <c r="W158" s="46"/>
    </row>
    <row r="159" spans="1:23" s="47" customFormat="1" ht="49.5" customHeight="1">
      <c r="A159" s="309"/>
      <c r="B159" s="33" t="s">
        <v>282</v>
      </c>
      <c r="C159" s="36">
        <v>105</v>
      </c>
      <c r="D159" s="36">
        <v>4</v>
      </c>
      <c r="E159" s="239">
        <v>120</v>
      </c>
      <c r="F159" s="34">
        <v>199</v>
      </c>
      <c r="G159" s="34">
        <v>28</v>
      </c>
      <c r="H159" s="35">
        <v>197.2</v>
      </c>
      <c r="I159" s="34" t="s">
        <v>45</v>
      </c>
      <c r="J159" s="36" t="s">
        <v>60</v>
      </c>
      <c r="K159" s="37">
        <f t="shared" si="44"/>
        <v>120</v>
      </c>
      <c r="L159" s="38">
        <f>122.1-120</f>
        <v>2.0999999999999943</v>
      </c>
      <c r="M159" s="38"/>
      <c r="N159" s="38"/>
      <c r="O159" s="38"/>
      <c r="P159" s="38"/>
      <c r="Q159" s="39">
        <f t="shared" si="37"/>
        <v>122.1</v>
      </c>
      <c r="R159" s="316"/>
      <c r="S159" s="66" t="str">
        <f t="shared" si="43"/>
        <v>LUC</v>
      </c>
      <c r="T159" s="45"/>
      <c r="U159" s="247"/>
      <c r="V159" s="46"/>
      <c r="W159" s="46"/>
    </row>
    <row r="160" spans="1:23" s="68" customFormat="1" ht="49.5" customHeight="1">
      <c r="A160" s="307">
        <v>59</v>
      </c>
      <c r="B160" s="33" t="s">
        <v>286</v>
      </c>
      <c r="C160" s="36"/>
      <c r="D160" s="36"/>
      <c r="E160" s="239"/>
      <c r="F160" s="34" t="s">
        <v>287</v>
      </c>
      <c r="G160" s="34">
        <v>28</v>
      </c>
      <c r="H160" s="71">
        <v>576.1</v>
      </c>
      <c r="I160" s="86" t="s">
        <v>49</v>
      </c>
      <c r="J160" s="36" t="s">
        <v>50</v>
      </c>
      <c r="K160" s="37"/>
      <c r="L160" s="38">
        <f>316.1-240</f>
        <v>76.100000000000023</v>
      </c>
      <c r="M160" s="38"/>
      <c r="N160" s="38"/>
      <c r="O160" s="38"/>
      <c r="P160" s="38"/>
      <c r="Q160" s="39">
        <f t="shared" si="37"/>
        <v>76.100000000000023</v>
      </c>
      <c r="R160" s="310">
        <f>SUM(Q160:Q162)</f>
        <v>491.70000000000005</v>
      </c>
      <c r="S160" s="66" t="str">
        <f t="shared" si="43"/>
        <v>LUK</v>
      </c>
      <c r="T160" s="45"/>
      <c r="U160" s="248"/>
      <c r="V160" s="67"/>
      <c r="W160" s="67"/>
    </row>
    <row r="161" spans="1:23" s="68" customFormat="1" ht="49.5" customHeight="1">
      <c r="A161" s="308"/>
      <c r="B161" s="33" t="s">
        <v>288</v>
      </c>
      <c r="C161" s="36"/>
      <c r="D161" s="36"/>
      <c r="E161" s="239"/>
      <c r="F161" s="34" t="s">
        <v>287</v>
      </c>
      <c r="G161" s="34">
        <v>28</v>
      </c>
      <c r="H161" s="71">
        <v>576.1</v>
      </c>
      <c r="I161" s="86" t="s">
        <v>49</v>
      </c>
      <c r="J161" s="36" t="s">
        <v>50</v>
      </c>
      <c r="K161" s="37"/>
      <c r="L161" s="38"/>
      <c r="M161" s="38"/>
      <c r="N161" s="38">
        <v>240</v>
      </c>
      <c r="O161" s="38"/>
      <c r="P161" s="38"/>
      <c r="Q161" s="39">
        <f t="shared" si="37"/>
        <v>240</v>
      </c>
      <c r="R161" s="311"/>
      <c r="S161" s="66" t="str">
        <f t="shared" si="43"/>
        <v>LUK</v>
      </c>
      <c r="T161" s="45"/>
      <c r="U161" s="248"/>
      <c r="V161" s="67"/>
      <c r="W161" s="67"/>
    </row>
    <row r="162" spans="1:23" s="68" customFormat="1" ht="49.5" customHeight="1">
      <c r="A162" s="309"/>
      <c r="B162" s="33" t="s">
        <v>288</v>
      </c>
      <c r="C162" s="36">
        <v>301</v>
      </c>
      <c r="D162" s="36">
        <v>5</v>
      </c>
      <c r="E162" s="239">
        <v>216</v>
      </c>
      <c r="F162" s="34" t="s">
        <v>289</v>
      </c>
      <c r="G162" s="34">
        <v>28</v>
      </c>
      <c r="H162" s="71">
        <v>175.6</v>
      </c>
      <c r="I162" s="86" t="s">
        <v>49</v>
      </c>
      <c r="J162" s="36" t="s">
        <v>111</v>
      </c>
      <c r="K162" s="37">
        <v>175.6</v>
      </c>
      <c r="L162" s="38"/>
      <c r="M162" s="38"/>
      <c r="N162" s="38"/>
      <c r="O162" s="38"/>
      <c r="P162" s="38"/>
      <c r="Q162" s="39">
        <f t="shared" si="37"/>
        <v>175.6</v>
      </c>
      <c r="R162" s="312"/>
      <c r="S162" s="66" t="str">
        <f t="shared" si="43"/>
        <v>LUK</v>
      </c>
      <c r="T162" s="45"/>
      <c r="U162" s="248"/>
      <c r="V162" s="67"/>
      <c r="W162" s="67"/>
    </row>
    <row r="163" spans="1:23" s="47" customFormat="1" ht="49.5" customHeight="1">
      <c r="A163" s="307">
        <v>60</v>
      </c>
      <c r="B163" s="33" t="s">
        <v>291</v>
      </c>
      <c r="C163" s="36"/>
      <c r="D163" s="36"/>
      <c r="E163" s="239"/>
      <c r="F163" s="34" t="s">
        <v>292</v>
      </c>
      <c r="G163" s="87" t="s">
        <v>99</v>
      </c>
      <c r="H163" s="88">
        <v>31.9</v>
      </c>
      <c r="I163" s="89" t="s">
        <v>45</v>
      </c>
      <c r="J163" s="36" t="s">
        <v>137</v>
      </c>
      <c r="K163" s="37"/>
      <c r="L163" s="38">
        <v>31.9</v>
      </c>
      <c r="M163" s="38"/>
      <c r="N163" s="38"/>
      <c r="O163" s="38"/>
      <c r="P163" s="38"/>
      <c r="Q163" s="39">
        <f t="shared" si="37"/>
        <v>31.9</v>
      </c>
      <c r="R163" s="310">
        <f>SUM(Q163:Q165)</f>
        <v>441.8</v>
      </c>
      <c r="S163" s="66" t="str">
        <f t="shared" si="43"/>
        <v>LUC</v>
      </c>
      <c r="T163" s="45"/>
      <c r="U163" s="247"/>
      <c r="V163" s="46"/>
      <c r="W163" s="46"/>
    </row>
    <row r="164" spans="1:23" s="47" customFormat="1" ht="49.5" customHeight="1">
      <c r="A164" s="308"/>
      <c r="B164" s="33" t="s">
        <v>291</v>
      </c>
      <c r="C164" s="36">
        <v>128</v>
      </c>
      <c r="D164" s="36">
        <v>5</v>
      </c>
      <c r="E164" s="239">
        <v>120</v>
      </c>
      <c r="F164" s="34" t="s">
        <v>293</v>
      </c>
      <c r="G164" s="87" t="s">
        <v>99</v>
      </c>
      <c r="H164" s="88">
        <v>135.6</v>
      </c>
      <c r="I164" s="89" t="s">
        <v>49</v>
      </c>
      <c r="J164" s="36" t="s">
        <v>50</v>
      </c>
      <c r="K164" s="37">
        <f t="shared" ref="K164" si="45">E164</f>
        <v>120</v>
      </c>
      <c r="L164" s="38">
        <f t="shared" ref="L164" si="46">H164-K164</f>
        <v>15.599999999999994</v>
      </c>
      <c r="M164" s="38"/>
      <c r="N164" s="38"/>
      <c r="O164" s="38"/>
      <c r="P164" s="38"/>
      <c r="Q164" s="39">
        <f t="shared" si="37"/>
        <v>135.6</v>
      </c>
      <c r="R164" s="311"/>
      <c r="S164" s="66" t="str">
        <f t="shared" si="43"/>
        <v>LUK</v>
      </c>
      <c r="T164" s="45"/>
      <c r="U164" s="247"/>
      <c r="V164" s="46"/>
      <c r="W164" s="46"/>
    </row>
    <row r="165" spans="1:23" s="47" customFormat="1" ht="49.5" customHeight="1" thickBot="1">
      <c r="A165" s="309"/>
      <c r="B165" s="33" t="s">
        <v>291</v>
      </c>
      <c r="C165" s="36">
        <v>79</v>
      </c>
      <c r="D165" s="36">
        <v>4</v>
      </c>
      <c r="E165" s="239">
        <v>288</v>
      </c>
      <c r="F165" s="34">
        <v>32</v>
      </c>
      <c r="G165" s="87">
        <v>28</v>
      </c>
      <c r="H165" s="88">
        <v>274.3</v>
      </c>
      <c r="I165" s="89" t="s">
        <v>45</v>
      </c>
      <c r="J165" s="36" t="s">
        <v>60</v>
      </c>
      <c r="K165" s="37">
        <v>178.9</v>
      </c>
      <c r="L165" s="38">
        <f t="shared" ref="L165" si="47">H165-K165</f>
        <v>95.4</v>
      </c>
      <c r="M165" s="38"/>
      <c r="N165" s="38"/>
      <c r="O165" s="38"/>
      <c r="P165" s="38"/>
      <c r="Q165" s="39">
        <f t="shared" si="37"/>
        <v>274.3</v>
      </c>
      <c r="R165" s="312"/>
      <c r="S165" s="66" t="str">
        <f t="shared" si="43"/>
        <v>LUC</v>
      </c>
      <c r="T165" s="45"/>
      <c r="U165" s="247"/>
      <c r="V165" s="46"/>
      <c r="W165" s="46"/>
    </row>
    <row r="166" spans="1:23" s="68" customFormat="1" ht="49.5" customHeight="1">
      <c r="A166" s="307">
        <v>61</v>
      </c>
      <c r="B166" s="33" t="s">
        <v>295</v>
      </c>
      <c r="C166" s="91">
        <v>128</v>
      </c>
      <c r="D166" s="91">
        <v>5</v>
      </c>
      <c r="E166" s="92">
        <v>144</v>
      </c>
      <c r="F166" s="70" t="s">
        <v>296</v>
      </c>
      <c r="G166" s="48" t="s">
        <v>99</v>
      </c>
      <c r="H166" s="93">
        <v>521.70000000000005</v>
      </c>
      <c r="I166" s="34" t="s">
        <v>49</v>
      </c>
      <c r="J166" s="36" t="s">
        <v>50</v>
      </c>
      <c r="K166" s="37">
        <f t="shared" si="44"/>
        <v>144</v>
      </c>
      <c r="L166" s="38">
        <v>9.3000000000000007</v>
      </c>
      <c r="M166" s="38"/>
      <c r="N166" s="38"/>
      <c r="O166" s="38"/>
      <c r="P166" s="38"/>
      <c r="Q166" s="39">
        <f t="shared" si="37"/>
        <v>153.30000000000001</v>
      </c>
      <c r="R166" s="310">
        <f>SUM(Q166:Q169)</f>
        <v>480.80000000000007</v>
      </c>
      <c r="S166" s="66" t="str">
        <f t="shared" si="43"/>
        <v>LUK</v>
      </c>
      <c r="T166" s="45"/>
      <c r="U166" s="248"/>
      <c r="V166" s="67"/>
      <c r="W166" s="67"/>
    </row>
    <row r="167" spans="1:23" s="47" customFormat="1" ht="49.5" customHeight="1">
      <c r="A167" s="308"/>
      <c r="B167" s="33" t="s">
        <v>295</v>
      </c>
      <c r="C167" s="36">
        <v>106</v>
      </c>
      <c r="D167" s="36">
        <v>5</v>
      </c>
      <c r="E167" s="239">
        <v>60</v>
      </c>
      <c r="F167" s="34" t="s">
        <v>299</v>
      </c>
      <c r="G167" s="34" t="s">
        <v>99</v>
      </c>
      <c r="H167" s="35">
        <v>170.5</v>
      </c>
      <c r="I167" s="34" t="s">
        <v>49</v>
      </c>
      <c r="J167" s="36" t="s">
        <v>50</v>
      </c>
      <c r="K167" s="37">
        <f t="shared" si="44"/>
        <v>60</v>
      </c>
      <c r="L167" s="38">
        <f t="shared" ref="L167" si="48">H167-K167</f>
        <v>110.5</v>
      </c>
      <c r="M167" s="38"/>
      <c r="N167" s="38"/>
      <c r="O167" s="38"/>
      <c r="P167" s="38"/>
      <c r="Q167" s="39">
        <f t="shared" si="37"/>
        <v>170.5</v>
      </c>
      <c r="R167" s="311"/>
      <c r="S167" s="66" t="str">
        <f t="shared" si="43"/>
        <v>LUK</v>
      </c>
      <c r="T167" s="45"/>
      <c r="U167" s="247"/>
      <c r="V167" s="46"/>
      <c r="W167" s="46"/>
    </row>
    <row r="168" spans="1:23" s="47" customFormat="1" ht="49.5" customHeight="1">
      <c r="A168" s="308"/>
      <c r="B168" s="33" t="s">
        <v>295</v>
      </c>
      <c r="C168" s="36"/>
      <c r="D168" s="36"/>
      <c r="E168" s="239"/>
      <c r="F168" s="34" t="s">
        <v>301</v>
      </c>
      <c r="G168" s="34" t="s">
        <v>99</v>
      </c>
      <c r="H168" s="35">
        <v>77.900000000000006</v>
      </c>
      <c r="I168" s="34" t="s">
        <v>49</v>
      </c>
      <c r="J168" s="36" t="s">
        <v>46</v>
      </c>
      <c r="K168" s="37"/>
      <c r="L168" s="38">
        <f t="shared" ref="L168:L175" si="49">H168-K168</f>
        <v>77.900000000000006</v>
      </c>
      <c r="M168" s="38"/>
      <c r="N168" s="38"/>
      <c r="O168" s="38"/>
      <c r="P168" s="38"/>
      <c r="Q168" s="39">
        <f t="shared" si="37"/>
        <v>77.900000000000006</v>
      </c>
      <c r="R168" s="311"/>
      <c r="S168" s="66" t="str">
        <f t="shared" si="43"/>
        <v>LUK</v>
      </c>
      <c r="T168" s="45"/>
      <c r="U168" s="247"/>
      <c r="V168" s="46"/>
      <c r="W168" s="46"/>
    </row>
    <row r="169" spans="1:23" s="47" customFormat="1" ht="49.5" customHeight="1">
      <c r="A169" s="308"/>
      <c r="B169" s="33" t="s">
        <v>295</v>
      </c>
      <c r="C169" s="36">
        <v>35</v>
      </c>
      <c r="D169" s="36">
        <v>6</v>
      </c>
      <c r="E169" s="239">
        <v>72</v>
      </c>
      <c r="F169" s="34">
        <v>285</v>
      </c>
      <c r="G169" s="34">
        <v>28</v>
      </c>
      <c r="H169" s="35">
        <v>79.099999999999994</v>
      </c>
      <c r="I169" s="34" t="s">
        <v>49</v>
      </c>
      <c r="J169" s="36" t="s">
        <v>50</v>
      </c>
      <c r="K169" s="37">
        <f t="shared" ref="K169" si="50">E169</f>
        <v>72</v>
      </c>
      <c r="L169" s="38">
        <f t="shared" si="49"/>
        <v>7.0999999999999943</v>
      </c>
      <c r="M169" s="38"/>
      <c r="N169" s="38"/>
      <c r="O169" s="38"/>
      <c r="P169" s="38"/>
      <c r="Q169" s="39">
        <f t="shared" si="37"/>
        <v>79.099999999999994</v>
      </c>
      <c r="R169" s="311"/>
      <c r="S169" s="66" t="str">
        <f t="shared" si="43"/>
        <v>LUK</v>
      </c>
      <c r="T169" s="45"/>
      <c r="U169" s="247"/>
      <c r="V169" s="46"/>
      <c r="W169" s="46"/>
    </row>
    <row r="170" spans="1:23" s="47" customFormat="1" ht="49.5" customHeight="1">
      <c r="A170" s="307">
        <v>62</v>
      </c>
      <c r="B170" s="33" t="s">
        <v>302</v>
      </c>
      <c r="C170" s="322">
        <v>211</v>
      </c>
      <c r="D170" s="322">
        <v>4</v>
      </c>
      <c r="E170" s="325">
        <v>276</v>
      </c>
      <c r="F170" s="34">
        <v>529</v>
      </c>
      <c r="G170" s="34" t="s">
        <v>99</v>
      </c>
      <c r="H170" s="35">
        <v>331.3</v>
      </c>
      <c r="I170" s="34" t="s">
        <v>49</v>
      </c>
      <c r="J170" s="36" t="s">
        <v>57</v>
      </c>
      <c r="K170" s="37">
        <v>31.3</v>
      </c>
      <c r="L170" s="38"/>
      <c r="M170" s="38"/>
      <c r="N170" s="38"/>
      <c r="O170" s="38"/>
      <c r="P170" s="38"/>
      <c r="Q170" s="39">
        <f t="shared" si="37"/>
        <v>31.3</v>
      </c>
      <c r="R170" s="310">
        <f>SUM(Q170:Q175)</f>
        <v>1147.8000000000002</v>
      </c>
      <c r="S170" s="66" t="str">
        <f t="shared" si="43"/>
        <v>LUK</v>
      </c>
      <c r="T170" s="45"/>
      <c r="U170" s="247"/>
      <c r="V170" s="46"/>
      <c r="W170" s="46"/>
    </row>
    <row r="171" spans="1:23" s="47" customFormat="1" ht="49.5" customHeight="1">
      <c r="A171" s="308"/>
      <c r="B171" s="33" t="s">
        <v>302</v>
      </c>
      <c r="C171" s="323"/>
      <c r="D171" s="323"/>
      <c r="E171" s="326"/>
      <c r="F171" s="34" t="s">
        <v>304</v>
      </c>
      <c r="G171" s="34" t="s">
        <v>99</v>
      </c>
      <c r="H171" s="35">
        <v>228</v>
      </c>
      <c r="I171" s="34" t="s">
        <v>49</v>
      </c>
      <c r="J171" s="36" t="s">
        <v>57</v>
      </c>
      <c r="K171" s="37">
        <v>228</v>
      </c>
      <c r="L171" s="38">
        <f t="shared" ref="L171" si="51">H171-K171</f>
        <v>0</v>
      </c>
      <c r="M171" s="38"/>
      <c r="N171" s="38"/>
      <c r="O171" s="38"/>
      <c r="P171" s="38"/>
      <c r="Q171" s="39">
        <f t="shared" si="37"/>
        <v>228</v>
      </c>
      <c r="R171" s="311"/>
      <c r="S171" s="66" t="str">
        <f t="shared" si="43"/>
        <v>LUK</v>
      </c>
      <c r="T171" s="45"/>
      <c r="U171" s="247"/>
      <c r="V171" s="46"/>
      <c r="W171" s="46"/>
    </row>
    <row r="172" spans="1:23" s="47" customFormat="1" ht="49.5" customHeight="1">
      <c r="A172" s="308"/>
      <c r="B172" s="33" t="s">
        <v>302</v>
      </c>
      <c r="C172" s="36">
        <v>128</v>
      </c>
      <c r="D172" s="36">
        <v>5</v>
      </c>
      <c r="E172" s="239">
        <v>276</v>
      </c>
      <c r="F172" s="34" t="s">
        <v>306</v>
      </c>
      <c r="G172" s="34" t="s">
        <v>99</v>
      </c>
      <c r="H172" s="35">
        <v>250.9</v>
      </c>
      <c r="I172" s="34" t="s">
        <v>49</v>
      </c>
      <c r="J172" s="36" t="s">
        <v>50</v>
      </c>
      <c r="K172" s="37">
        <v>250.9</v>
      </c>
      <c r="L172" s="38">
        <f t="shared" si="49"/>
        <v>0</v>
      </c>
      <c r="M172" s="38"/>
      <c r="N172" s="38"/>
      <c r="O172" s="38"/>
      <c r="P172" s="38"/>
      <c r="Q172" s="39">
        <f t="shared" si="37"/>
        <v>250.9</v>
      </c>
      <c r="R172" s="311"/>
      <c r="S172" s="66" t="str">
        <f t="shared" si="43"/>
        <v>LUK</v>
      </c>
      <c r="T172" s="45"/>
      <c r="U172" s="247"/>
      <c r="V172" s="46"/>
      <c r="W172" s="46"/>
    </row>
    <row r="173" spans="1:23" s="47" customFormat="1" ht="49.5" customHeight="1">
      <c r="A173" s="308"/>
      <c r="B173" s="33" t="s">
        <v>302</v>
      </c>
      <c r="C173" s="36">
        <v>3</v>
      </c>
      <c r="D173" s="36">
        <v>4</v>
      </c>
      <c r="E173" s="239">
        <v>312</v>
      </c>
      <c r="F173" s="34" t="s">
        <v>307</v>
      </c>
      <c r="G173" s="34" t="s">
        <v>96</v>
      </c>
      <c r="H173" s="35">
        <v>256.7</v>
      </c>
      <c r="I173" s="34" t="s">
        <v>45</v>
      </c>
      <c r="J173" s="36" t="s">
        <v>54</v>
      </c>
      <c r="K173" s="37">
        <v>250.9</v>
      </c>
      <c r="L173" s="38">
        <f t="shared" si="49"/>
        <v>5.7999999999999829</v>
      </c>
      <c r="M173" s="38"/>
      <c r="N173" s="38"/>
      <c r="O173" s="38"/>
      <c r="P173" s="38"/>
      <c r="Q173" s="39">
        <f t="shared" si="37"/>
        <v>256.7</v>
      </c>
      <c r="R173" s="311"/>
      <c r="S173" s="66" t="str">
        <f t="shared" si="43"/>
        <v>LUC</v>
      </c>
      <c r="T173" s="45"/>
      <c r="U173" s="247"/>
      <c r="V173" s="46"/>
      <c r="W173" s="46"/>
    </row>
    <row r="174" spans="1:23" s="47" customFormat="1" ht="49.5" customHeight="1">
      <c r="A174" s="308"/>
      <c r="B174" s="33" t="s">
        <v>302</v>
      </c>
      <c r="C174" s="36">
        <v>86</v>
      </c>
      <c r="D174" s="36">
        <v>4</v>
      </c>
      <c r="E174" s="239">
        <v>168</v>
      </c>
      <c r="F174" s="34" t="s">
        <v>308</v>
      </c>
      <c r="G174" s="34" t="s">
        <v>99</v>
      </c>
      <c r="H174" s="35">
        <v>187.2</v>
      </c>
      <c r="I174" s="34" t="s">
        <v>55</v>
      </c>
      <c r="J174" s="36" t="s">
        <v>60</v>
      </c>
      <c r="K174" s="37">
        <f t="shared" ref="K174" si="52">E174</f>
        <v>168</v>
      </c>
      <c r="L174" s="38">
        <f t="shared" si="49"/>
        <v>19.199999999999989</v>
      </c>
      <c r="M174" s="38"/>
      <c r="N174" s="38"/>
      <c r="O174" s="38"/>
      <c r="P174" s="38"/>
      <c r="Q174" s="39">
        <f t="shared" si="37"/>
        <v>187.2</v>
      </c>
      <c r="R174" s="311"/>
      <c r="S174" s="66" t="str">
        <f t="shared" si="43"/>
        <v>BHK</v>
      </c>
      <c r="T174" s="45"/>
      <c r="U174" s="247"/>
      <c r="V174" s="46"/>
      <c r="W174" s="46"/>
    </row>
    <row r="175" spans="1:23" s="47" customFormat="1" ht="49.5" customHeight="1">
      <c r="A175" s="309"/>
      <c r="B175" s="33" t="s">
        <v>302</v>
      </c>
      <c r="C175" s="36">
        <v>189</v>
      </c>
      <c r="D175" s="36">
        <v>5</v>
      </c>
      <c r="E175" s="239">
        <v>144</v>
      </c>
      <c r="F175" s="34" t="s">
        <v>309</v>
      </c>
      <c r="G175" s="34" t="s">
        <v>99</v>
      </c>
      <c r="H175" s="35">
        <v>193.7</v>
      </c>
      <c r="I175" s="34" t="s">
        <v>49</v>
      </c>
      <c r="J175" s="36" t="s">
        <v>111</v>
      </c>
      <c r="K175" s="37">
        <f t="shared" ref="K175:K208" si="53">E175</f>
        <v>144</v>
      </c>
      <c r="L175" s="38">
        <f t="shared" si="49"/>
        <v>49.699999999999989</v>
      </c>
      <c r="M175" s="38"/>
      <c r="N175" s="38"/>
      <c r="O175" s="38"/>
      <c r="P175" s="38"/>
      <c r="Q175" s="39">
        <f t="shared" ref="Q175:Q228" si="54">K175+L175+N175+O175+M175</f>
        <v>193.7</v>
      </c>
      <c r="R175" s="312"/>
      <c r="S175" s="66" t="str">
        <f t="shared" si="43"/>
        <v>LUK</v>
      </c>
      <c r="T175" s="45"/>
      <c r="U175" s="247"/>
      <c r="V175" s="46"/>
      <c r="W175" s="46"/>
    </row>
    <row r="176" spans="1:23" s="68" customFormat="1" ht="49.5" customHeight="1">
      <c r="A176" s="307">
        <v>63</v>
      </c>
      <c r="B176" s="33" t="s">
        <v>311</v>
      </c>
      <c r="C176" s="36">
        <v>79</v>
      </c>
      <c r="D176" s="36">
        <v>4</v>
      </c>
      <c r="E176" s="239">
        <v>528</v>
      </c>
      <c r="F176" s="34" t="s">
        <v>312</v>
      </c>
      <c r="G176" s="34" t="s">
        <v>99</v>
      </c>
      <c r="H176" s="35">
        <v>715.9</v>
      </c>
      <c r="I176" s="34" t="s">
        <v>45</v>
      </c>
      <c r="J176" s="36" t="s">
        <v>60</v>
      </c>
      <c r="K176" s="37">
        <v>188.1</v>
      </c>
      <c r="L176" s="38"/>
      <c r="M176" s="38"/>
      <c r="N176" s="38"/>
      <c r="O176" s="38"/>
      <c r="P176" s="38"/>
      <c r="Q176" s="39">
        <f t="shared" si="54"/>
        <v>188.1</v>
      </c>
      <c r="R176" s="310">
        <f>SUM(Q176:Q179)</f>
        <v>1262.5</v>
      </c>
      <c r="S176" s="66" t="str">
        <f t="shared" si="43"/>
        <v>LUC</v>
      </c>
      <c r="T176" s="45"/>
      <c r="U176" s="248"/>
      <c r="V176" s="67"/>
      <c r="W176" s="67"/>
    </row>
    <row r="177" spans="1:23" s="68" customFormat="1" ht="49.5" customHeight="1">
      <c r="A177" s="308"/>
      <c r="B177" s="33" t="s">
        <v>311</v>
      </c>
      <c r="C177" s="36">
        <v>212</v>
      </c>
      <c r="D177" s="36">
        <v>4</v>
      </c>
      <c r="E177" s="239">
        <v>156</v>
      </c>
      <c r="F177" s="34">
        <v>66</v>
      </c>
      <c r="G177" s="34">
        <v>28</v>
      </c>
      <c r="H177" s="35">
        <v>1220.9000000000001</v>
      </c>
      <c r="I177" s="34" t="s">
        <v>49</v>
      </c>
      <c r="J177" s="36" t="s">
        <v>57</v>
      </c>
      <c r="K177" s="37">
        <f>528-188.1</f>
        <v>339.9</v>
      </c>
      <c r="L177" s="38">
        <f>360.5-339.9</f>
        <v>20.600000000000023</v>
      </c>
      <c r="M177" s="38"/>
      <c r="N177" s="38"/>
      <c r="O177" s="38"/>
      <c r="P177" s="38"/>
      <c r="Q177" s="39">
        <f t="shared" si="54"/>
        <v>360.5</v>
      </c>
      <c r="R177" s="311"/>
      <c r="S177" s="66" t="str">
        <f t="shared" si="43"/>
        <v>LUK</v>
      </c>
      <c r="T177" s="45"/>
      <c r="U177" s="248"/>
      <c r="V177" s="67"/>
      <c r="W177" s="67"/>
    </row>
    <row r="178" spans="1:23" s="68" customFormat="1" ht="49.5" customHeight="1">
      <c r="A178" s="308"/>
      <c r="B178" s="33" t="s">
        <v>311</v>
      </c>
      <c r="C178" s="36">
        <v>212</v>
      </c>
      <c r="D178" s="36">
        <v>4</v>
      </c>
      <c r="E178" s="239">
        <v>156</v>
      </c>
      <c r="F178" s="34" t="s">
        <v>313</v>
      </c>
      <c r="G178" s="34" t="s">
        <v>99</v>
      </c>
      <c r="H178" s="35">
        <v>201.9</v>
      </c>
      <c r="I178" s="34" t="s">
        <v>49</v>
      </c>
      <c r="J178" s="36" t="s">
        <v>57</v>
      </c>
      <c r="K178" s="37">
        <f t="shared" si="53"/>
        <v>156</v>
      </c>
      <c r="L178" s="38">
        <f>187.5-156</f>
        <v>31.5</v>
      </c>
      <c r="M178" s="38"/>
      <c r="N178" s="38"/>
      <c r="O178" s="38">
        <v>14.4</v>
      </c>
      <c r="P178" s="38"/>
      <c r="Q178" s="39">
        <f t="shared" si="54"/>
        <v>201.9</v>
      </c>
      <c r="R178" s="311"/>
      <c r="S178" s="66" t="str">
        <f t="shared" si="43"/>
        <v>LUK</v>
      </c>
      <c r="T178" s="45"/>
      <c r="U178" s="248"/>
      <c r="V178" s="67"/>
      <c r="W178" s="67"/>
    </row>
    <row r="179" spans="1:23" s="68" customFormat="1" ht="49.5" customHeight="1">
      <c r="A179" s="309"/>
      <c r="B179" s="33" t="s">
        <v>311</v>
      </c>
      <c r="C179" s="36">
        <v>275</v>
      </c>
      <c r="D179" s="36">
        <v>4</v>
      </c>
      <c r="E179" s="239">
        <v>264</v>
      </c>
      <c r="F179" s="34" t="s">
        <v>314</v>
      </c>
      <c r="G179" s="34" t="s">
        <v>96</v>
      </c>
      <c r="H179" s="35">
        <v>512</v>
      </c>
      <c r="I179" s="34" t="s">
        <v>45</v>
      </c>
      <c r="J179" s="36" t="s">
        <v>56</v>
      </c>
      <c r="K179" s="37">
        <f t="shared" si="53"/>
        <v>264</v>
      </c>
      <c r="L179" s="38">
        <f>445.7-264</f>
        <v>181.7</v>
      </c>
      <c r="M179" s="38"/>
      <c r="N179" s="38"/>
      <c r="O179" s="38">
        <f>512-445.7</f>
        <v>66.300000000000011</v>
      </c>
      <c r="P179" s="38"/>
      <c r="Q179" s="39">
        <f t="shared" si="54"/>
        <v>512</v>
      </c>
      <c r="R179" s="312"/>
      <c r="S179" s="66" t="str">
        <f t="shared" si="43"/>
        <v>LUC</v>
      </c>
      <c r="T179" s="45"/>
      <c r="U179" s="248"/>
      <c r="V179" s="67"/>
      <c r="W179" s="67"/>
    </row>
    <row r="180" spans="1:23" s="68" customFormat="1" ht="49.5" customHeight="1">
      <c r="A180" s="307">
        <v>64</v>
      </c>
      <c r="B180" s="33" t="s">
        <v>316</v>
      </c>
      <c r="C180" s="36">
        <v>123</v>
      </c>
      <c r="D180" s="36">
        <v>5</v>
      </c>
      <c r="E180" s="239">
        <v>168</v>
      </c>
      <c r="F180" s="34" t="s">
        <v>317</v>
      </c>
      <c r="G180" s="34" t="s">
        <v>99</v>
      </c>
      <c r="H180" s="35">
        <v>159.1</v>
      </c>
      <c r="I180" s="34" t="s">
        <v>49</v>
      </c>
      <c r="J180" s="36" t="s">
        <v>50</v>
      </c>
      <c r="K180" s="37">
        <v>159.1</v>
      </c>
      <c r="L180" s="38">
        <f t="shared" ref="L180:L184" si="55">H180-K180</f>
        <v>0</v>
      </c>
      <c r="M180" s="38"/>
      <c r="N180" s="38"/>
      <c r="O180" s="38"/>
      <c r="P180" s="38"/>
      <c r="Q180" s="39">
        <f t="shared" si="54"/>
        <v>159.1</v>
      </c>
      <c r="R180" s="310">
        <f>SUM(Q180:Q184)</f>
        <v>1258.6999999999998</v>
      </c>
      <c r="S180" s="66" t="str">
        <f t="shared" si="43"/>
        <v>LUK</v>
      </c>
      <c r="T180" s="45"/>
      <c r="U180" s="248"/>
      <c r="V180" s="67"/>
      <c r="W180" s="67"/>
    </row>
    <row r="181" spans="1:23" s="68" customFormat="1" ht="49.5" customHeight="1">
      <c r="A181" s="308"/>
      <c r="B181" s="33" t="s">
        <v>316</v>
      </c>
      <c r="C181" s="322">
        <v>105</v>
      </c>
      <c r="D181" s="322">
        <v>4</v>
      </c>
      <c r="E181" s="325">
        <v>816</v>
      </c>
      <c r="F181" s="34" t="s">
        <v>318</v>
      </c>
      <c r="G181" s="34" t="s">
        <v>99</v>
      </c>
      <c r="H181" s="35">
        <v>790.6</v>
      </c>
      <c r="I181" s="34" t="s">
        <v>45</v>
      </c>
      <c r="J181" s="36" t="s">
        <v>60</v>
      </c>
      <c r="K181" s="37">
        <v>790.6</v>
      </c>
      <c r="L181" s="38">
        <f t="shared" si="55"/>
        <v>0</v>
      </c>
      <c r="M181" s="38"/>
      <c r="N181" s="38"/>
      <c r="O181" s="38"/>
      <c r="P181" s="38"/>
      <c r="Q181" s="39">
        <f t="shared" si="54"/>
        <v>790.6</v>
      </c>
      <c r="R181" s="311"/>
      <c r="S181" s="66" t="str">
        <f t="shared" si="43"/>
        <v>LUC</v>
      </c>
      <c r="T181" s="45"/>
      <c r="U181" s="248"/>
      <c r="V181" s="67"/>
      <c r="W181" s="67"/>
    </row>
    <row r="182" spans="1:23" s="68" customFormat="1" ht="49.5" customHeight="1">
      <c r="A182" s="308"/>
      <c r="B182" s="33" t="s">
        <v>316</v>
      </c>
      <c r="C182" s="324"/>
      <c r="D182" s="324"/>
      <c r="E182" s="327"/>
      <c r="F182" s="34">
        <v>199</v>
      </c>
      <c r="G182" s="34">
        <v>28</v>
      </c>
      <c r="H182" s="35">
        <v>197.2</v>
      </c>
      <c r="I182" s="34" t="s">
        <v>45</v>
      </c>
      <c r="J182" s="36" t="s">
        <v>60</v>
      </c>
      <c r="K182" s="37">
        <v>70.400000000000006</v>
      </c>
      <c r="L182" s="38"/>
      <c r="M182" s="38"/>
      <c r="N182" s="38"/>
      <c r="O182" s="38"/>
      <c r="P182" s="38"/>
      <c r="Q182" s="39">
        <f t="shared" si="54"/>
        <v>70.400000000000006</v>
      </c>
      <c r="R182" s="311"/>
      <c r="S182" s="66" t="str">
        <f t="shared" si="43"/>
        <v>LUC</v>
      </c>
      <c r="T182" s="45"/>
      <c r="U182" s="248"/>
      <c r="V182" s="67"/>
      <c r="W182" s="67"/>
    </row>
    <row r="183" spans="1:23" s="68" customFormat="1" ht="49.5" customHeight="1">
      <c r="A183" s="308"/>
      <c r="B183" s="33" t="s">
        <v>316</v>
      </c>
      <c r="C183" s="36">
        <v>115</v>
      </c>
      <c r="D183" s="36">
        <v>4</v>
      </c>
      <c r="E183" s="239">
        <v>168</v>
      </c>
      <c r="F183" s="34" t="s">
        <v>319</v>
      </c>
      <c r="G183" s="34" t="s">
        <v>99</v>
      </c>
      <c r="H183" s="35">
        <v>211</v>
      </c>
      <c r="I183" s="34" t="s">
        <v>49</v>
      </c>
      <c r="J183" s="36" t="s">
        <v>111</v>
      </c>
      <c r="K183" s="37">
        <f t="shared" ref="K183" si="56">E183</f>
        <v>168</v>
      </c>
      <c r="L183" s="38">
        <f t="shared" si="55"/>
        <v>43</v>
      </c>
      <c r="M183" s="38"/>
      <c r="N183" s="38"/>
      <c r="O183" s="38"/>
      <c r="P183" s="38"/>
      <c r="Q183" s="39">
        <f t="shared" si="54"/>
        <v>211</v>
      </c>
      <c r="R183" s="311"/>
      <c r="S183" s="66" t="str">
        <f t="shared" si="43"/>
        <v>LUK</v>
      </c>
      <c r="T183" s="45"/>
      <c r="U183" s="248"/>
      <c r="V183" s="67"/>
      <c r="W183" s="67"/>
    </row>
    <row r="184" spans="1:23" s="68" customFormat="1" ht="49.5" customHeight="1">
      <c r="A184" s="309"/>
      <c r="B184" s="33" t="s">
        <v>316</v>
      </c>
      <c r="C184" s="36"/>
      <c r="D184" s="36"/>
      <c r="E184" s="239"/>
      <c r="F184" s="34">
        <v>349</v>
      </c>
      <c r="G184" s="34">
        <v>28</v>
      </c>
      <c r="H184" s="35">
        <v>27.6</v>
      </c>
      <c r="I184" s="34" t="s">
        <v>49</v>
      </c>
      <c r="J184" s="36" t="s">
        <v>111</v>
      </c>
      <c r="K184" s="37"/>
      <c r="L184" s="38">
        <f t="shared" si="55"/>
        <v>27.6</v>
      </c>
      <c r="M184" s="38"/>
      <c r="N184" s="38"/>
      <c r="O184" s="38"/>
      <c r="P184" s="38"/>
      <c r="Q184" s="39">
        <f t="shared" si="54"/>
        <v>27.6</v>
      </c>
      <c r="R184" s="312"/>
      <c r="S184" s="66" t="str">
        <f t="shared" si="43"/>
        <v>LUK</v>
      </c>
      <c r="T184" s="45"/>
      <c r="U184" s="248"/>
      <c r="V184" s="67"/>
      <c r="W184" s="67"/>
    </row>
    <row r="185" spans="1:23" s="68" customFormat="1" ht="49.5" customHeight="1">
      <c r="A185" s="307">
        <v>65</v>
      </c>
      <c r="B185" s="33" t="s">
        <v>320</v>
      </c>
      <c r="C185" s="36">
        <v>80</v>
      </c>
      <c r="D185" s="36">
        <v>4</v>
      </c>
      <c r="E185" s="239">
        <v>720</v>
      </c>
      <c r="F185" s="34" t="s">
        <v>321</v>
      </c>
      <c r="G185" s="34" t="s">
        <v>99</v>
      </c>
      <c r="H185" s="35">
        <v>785.6</v>
      </c>
      <c r="I185" s="34" t="s">
        <v>45</v>
      </c>
      <c r="J185" s="36" t="s">
        <v>60</v>
      </c>
      <c r="K185" s="37">
        <f t="shared" si="53"/>
        <v>720</v>
      </c>
      <c r="L185" s="38">
        <f>H185-K185</f>
        <v>65.600000000000023</v>
      </c>
      <c r="M185" s="38"/>
      <c r="N185" s="38"/>
      <c r="O185" s="38"/>
      <c r="P185" s="38"/>
      <c r="Q185" s="39">
        <f t="shared" si="54"/>
        <v>785.6</v>
      </c>
      <c r="R185" s="310">
        <f>SUM(Q185:Q186)</f>
        <v>907</v>
      </c>
      <c r="S185" s="66" t="str">
        <f t="shared" si="43"/>
        <v>LUC</v>
      </c>
      <c r="T185" s="45"/>
      <c r="U185" s="248"/>
      <c r="V185" s="67"/>
      <c r="W185" s="67"/>
    </row>
    <row r="186" spans="1:23" s="68" customFormat="1" ht="49.5" customHeight="1">
      <c r="A186" s="308"/>
      <c r="B186" s="33" t="s">
        <v>320</v>
      </c>
      <c r="C186" s="36"/>
      <c r="D186" s="36"/>
      <c r="E186" s="239"/>
      <c r="F186" s="34" t="s">
        <v>322</v>
      </c>
      <c r="G186" s="34" t="s">
        <v>99</v>
      </c>
      <c r="H186" s="35">
        <v>121.4</v>
      </c>
      <c r="I186" s="34" t="s">
        <v>55</v>
      </c>
      <c r="J186" s="36" t="s">
        <v>60</v>
      </c>
      <c r="K186" s="37"/>
      <c r="L186" s="38">
        <f>H186-K186</f>
        <v>121.4</v>
      </c>
      <c r="M186" s="38"/>
      <c r="N186" s="38"/>
      <c r="O186" s="38"/>
      <c r="P186" s="38"/>
      <c r="Q186" s="39">
        <f t="shared" si="54"/>
        <v>121.4</v>
      </c>
      <c r="R186" s="311"/>
      <c r="S186" s="66" t="str">
        <f t="shared" si="43"/>
        <v>BHK</v>
      </c>
      <c r="T186" s="45"/>
      <c r="U186" s="248"/>
      <c r="V186" s="67"/>
      <c r="W186" s="67"/>
    </row>
    <row r="187" spans="1:23" s="68" customFormat="1" ht="49.5" customHeight="1">
      <c r="A187" s="307">
        <v>66</v>
      </c>
      <c r="B187" s="33" t="s">
        <v>323</v>
      </c>
      <c r="C187" s="36">
        <v>79</v>
      </c>
      <c r="D187" s="36">
        <v>4</v>
      </c>
      <c r="E187" s="239">
        <v>828</v>
      </c>
      <c r="F187" s="34" t="s">
        <v>324</v>
      </c>
      <c r="G187" s="34" t="s">
        <v>99</v>
      </c>
      <c r="H187" s="35">
        <v>1220.9000000000001</v>
      </c>
      <c r="I187" s="34" t="s">
        <v>45</v>
      </c>
      <c r="J187" s="36" t="s">
        <v>60</v>
      </c>
      <c r="K187" s="37">
        <f t="shared" si="53"/>
        <v>828</v>
      </c>
      <c r="L187" s="38">
        <v>32.4</v>
      </c>
      <c r="M187" s="38"/>
      <c r="N187" s="38"/>
      <c r="O187" s="38"/>
      <c r="P187" s="38"/>
      <c r="Q187" s="39">
        <f t="shared" si="54"/>
        <v>860.4</v>
      </c>
      <c r="R187" s="310">
        <f>SUM(Q187:Q188)</f>
        <v>908.4</v>
      </c>
      <c r="S187" s="66" t="str">
        <f t="shared" si="43"/>
        <v>LUC</v>
      </c>
      <c r="T187" s="45"/>
      <c r="U187" s="248"/>
      <c r="V187" s="67"/>
      <c r="W187" s="67"/>
    </row>
    <row r="188" spans="1:23" s="68" customFormat="1" ht="49.5" customHeight="1">
      <c r="A188" s="309"/>
      <c r="B188" s="33" t="s">
        <v>325</v>
      </c>
      <c r="C188" s="36">
        <v>86</v>
      </c>
      <c r="D188" s="36">
        <v>5</v>
      </c>
      <c r="E188" s="239">
        <v>48</v>
      </c>
      <c r="F188" s="34">
        <v>124</v>
      </c>
      <c r="G188" s="34" t="s">
        <v>99</v>
      </c>
      <c r="H188" s="35">
        <v>261.89999999999998</v>
      </c>
      <c r="I188" s="34" t="s">
        <v>55</v>
      </c>
      <c r="J188" s="36" t="s">
        <v>60</v>
      </c>
      <c r="K188" s="37">
        <f t="shared" si="53"/>
        <v>48</v>
      </c>
      <c r="L188" s="38"/>
      <c r="M188" s="38"/>
      <c r="N188" s="38"/>
      <c r="O188" s="38"/>
      <c r="P188" s="38"/>
      <c r="Q188" s="39">
        <f t="shared" si="54"/>
        <v>48</v>
      </c>
      <c r="R188" s="312"/>
      <c r="S188" s="66" t="str">
        <f t="shared" si="43"/>
        <v>BHK</v>
      </c>
      <c r="T188" s="45"/>
      <c r="U188" s="248"/>
      <c r="V188" s="67"/>
      <c r="W188" s="67"/>
    </row>
    <row r="189" spans="1:23" s="155" customFormat="1" ht="54.75" customHeight="1">
      <c r="A189" s="307">
        <v>67</v>
      </c>
      <c r="B189" s="33" t="s">
        <v>326</v>
      </c>
      <c r="C189" s="36"/>
      <c r="D189" s="36"/>
      <c r="E189" s="239"/>
      <c r="F189" s="34">
        <v>208</v>
      </c>
      <c r="G189" s="34" t="s">
        <v>96</v>
      </c>
      <c r="H189" s="35">
        <v>200.3</v>
      </c>
      <c r="I189" s="34" t="s">
        <v>45</v>
      </c>
      <c r="J189" s="36" t="s">
        <v>56</v>
      </c>
      <c r="K189" s="37"/>
      <c r="L189" s="38"/>
      <c r="M189" s="38">
        <v>65.599999999999994</v>
      </c>
      <c r="N189" s="38"/>
      <c r="O189" s="38"/>
      <c r="P189" s="38"/>
      <c r="Q189" s="39">
        <f t="shared" si="54"/>
        <v>65.599999999999994</v>
      </c>
      <c r="R189" s="310">
        <f>SUM(Q189:Q194)</f>
        <v>830.7</v>
      </c>
      <c r="S189" s="66" t="s">
        <v>553</v>
      </c>
      <c r="T189" s="45"/>
      <c r="U189" s="249"/>
      <c r="V189" s="154"/>
      <c r="W189" s="154"/>
    </row>
    <row r="190" spans="1:23" s="155" customFormat="1" ht="54.75" customHeight="1">
      <c r="A190" s="308"/>
      <c r="B190" s="33" t="s">
        <v>326</v>
      </c>
      <c r="C190" s="36">
        <v>98</v>
      </c>
      <c r="D190" s="36">
        <v>5</v>
      </c>
      <c r="E190" s="239">
        <v>72</v>
      </c>
      <c r="F190" s="34" t="s">
        <v>330</v>
      </c>
      <c r="G190" s="34" t="s">
        <v>99</v>
      </c>
      <c r="H190" s="35">
        <v>145.80000000000001</v>
      </c>
      <c r="I190" s="34" t="s">
        <v>55</v>
      </c>
      <c r="J190" s="36" t="s">
        <v>56</v>
      </c>
      <c r="K190" s="37">
        <f t="shared" si="53"/>
        <v>72</v>
      </c>
      <c r="L190" s="38">
        <f t="shared" ref="L190:L207" si="57">H190-K190</f>
        <v>73.800000000000011</v>
      </c>
      <c r="M190" s="38"/>
      <c r="N190" s="38"/>
      <c r="O190" s="38"/>
      <c r="P190" s="38"/>
      <c r="Q190" s="39">
        <f t="shared" si="54"/>
        <v>145.80000000000001</v>
      </c>
      <c r="R190" s="311"/>
      <c r="S190" s="66" t="str">
        <f>I190</f>
        <v>BHK</v>
      </c>
      <c r="T190" s="45"/>
      <c r="U190" s="249"/>
      <c r="V190" s="154"/>
      <c r="W190" s="154"/>
    </row>
    <row r="191" spans="1:23" s="155" customFormat="1" ht="54.75" customHeight="1">
      <c r="A191" s="308"/>
      <c r="B191" s="33" t="s">
        <v>326</v>
      </c>
      <c r="C191" s="72">
        <v>106</v>
      </c>
      <c r="D191" s="72">
        <v>5</v>
      </c>
      <c r="E191" s="73">
        <v>360</v>
      </c>
      <c r="F191" s="34" t="s">
        <v>332</v>
      </c>
      <c r="G191" s="34" t="s">
        <v>99</v>
      </c>
      <c r="H191" s="35">
        <v>384.2</v>
      </c>
      <c r="I191" s="34" t="s">
        <v>45</v>
      </c>
      <c r="J191" s="36" t="s">
        <v>60</v>
      </c>
      <c r="K191" s="37">
        <v>309.7</v>
      </c>
      <c r="L191" s="38"/>
      <c r="M191" s="38"/>
      <c r="N191" s="38"/>
      <c r="O191" s="38"/>
      <c r="P191" s="38"/>
      <c r="Q191" s="39">
        <f t="shared" si="54"/>
        <v>309.7</v>
      </c>
      <c r="R191" s="311"/>
      <c r="S191" s="66" t="str">
        <f>I191</f>
        <v>LUC</v>
      </c>
      <c r="T191" s="45"/>
      <c r="U191" s="249"/>
      <c r="V191" s="154"/>
      <c r="W191" s="154"/>
    </row>
    <row r="192" spans="1:23" s="155" customFormat="1" ht="54.75" customHeight="1">
      <c r="A192" s="308"/>
      <c r="B192" s="33" t="s">
        <v>326</v>
      </c>
      <c r="C192" s="77"/>
      <c r="D192" s="77"/>
      <c r="E192" s="78"/>
      <c r="F192" s="34">
        <v>225</v>
      </c>
      <c r="G192" s="34" t="s">
        <v>99</v>
      </c>
      <c r="H192" s="35">
        <v>567.79999999999995</v>
      </c>
      <c r="I192" s="34" t="s">
        <v>45</v>
      </c>
      <c r="J192" s="36" t="s">
        <v>60</v>
      </c>
      <c r="K192" s="37">
        <f>360-309.7</f>
        <v>50.300000000000011</v>
      </c>
      <c r="L192" s="38">
        <f>61.7-50.3</f>
        <v>11.400000000000006</v>
      </c>
      <c r="M192" s="38"/>
      <c r="N192" s="38"/>
      <c r="O192" s="38"/>
      <c r="P192" s="38"/>
      <c r="Q192" s="39">
        <f t="shared" si="54"/>
        <v>61.700000000000017</v>
      </c>
      <c r="R192" s="311"/>
      <c r="S192" s="66" t="str">
        <f>I192</f>
        <v>LUC</v>
      </c>
      <c r="T192" s="45"/>
      <c r="U192" s="249"/>
      <c r="V192" s="154"/>
      <c r="W192" s="154"/>
    </row>
    <row r="193" spans="1:23" s="155" customFormat="1" ht="54.75" customHeight="1">
      <c r="A193" s="308"/>
      <c r="B193" s="33" t="s">
        <v>326</v>
      </c>
      <c r="C193" s="36">
        <v>83</v>
      </c>
      <c r="D193" s="36">
        <v>4</v>
      </c>
      <c r="E193" s="239">
        <v>120</v>
      </c>
      <c r="F193" s="34" t="s">
        <v>333</v>
      </c>
      <c r="G193" s="34" t="s">
        <v>99</v>
      </c>
      <c r="H193" s="35">
        <v>129.5</v>
      </c>
      <c r="I193" s="34" t="s">
        <v>49</v>
      </c>
      <c r="J193" s="36" t="s">
        <v>50</v>
      </c>
      <c r="K193" s="37">
        <f t="shared" si="53"/>
        <v>120</v>
      </c>
      <c r="L193" s="38">
        <f t="shared" si="57"/>
        <v>9.5</v>
      </c>
      <c r="M193" s="38"/>
      <c r="N193" s="38"/>
      <c r="O193" s="38"/>
      <c r="P193" s="38"/>
      <c r="Q193" s="39">
        <f t="shared" si="54"/>
        <v>129.5</v>
      </c>
      <c r="R193" s="311"/>
      <c r="S193" s="66" t="str">
        <f>I193</f>
        <v>LUK</v>
      </c>
      <c r="T193" s="45"/>
      <c r="U193" s="249"/>
      <c r="V193" s="154"/>
      <c r="W193" s="154"/>
    </row>
    <row r="194" spans="1:23" s="155" customFormat="1" ht="54.75" customHeight="1">
      <c r="A194" s="309"/>
      <c r="B194" s="33" t="s">
        <v>326</v>
      </c>
      <c r="C194" s="36"/>
      <c r="D194" s="36"/>
      <c r="E194" s="239"/>
      <c r="F194" s="34">
        <v>65</v>
      </c>
      <c r="G194" s="34">
        <v>28</v>
      </c>
      <c r="H194" s="35">
        <v>118.4</v>
      </c>
      <c r="I194" s="34" t="s">
        <v>55</v>
      </c>
      <c r="J194" s="36" t="s">
        <v>56</v>
      </c>
      <c r="K194" s="37"/>
      <c r="L194" s="38"/>
      <c r="M194" s="38">
        <v>118.4</v>
      </c>
      <c r="N194" s="38"/>
      <c r="O194" s="38"/>
      <c r="P194" s="38"/>
      <c r="Q194" s="39">
        <f t="shared" si="54"/>
        <v>118.4</v>
      </c>
      <c r="R194" s="312"/>
      <c r="S194" s="66" t="s">
        <v>553</v>
      </c>
      <c r="T194" s="45"/>
      <c r="U194" s="249"/>
      <c r="V194" s="154"/>
      <c r="W194" s="154"/>
    </row>
    <row r="195" spans="1:23" s="47" customFormat="1" ht="54.75" customHeight="1">
      <c r="A195" s="307">
        <v>68</v>
      </c>
      <c r="B195" s="33" t="s">
        <v>335</v>
      </c>
      <c r="C195" s="36"/>
      <c r="D195" s="36"/>
      <c r="E195" s="239"/>
      <c r="F195" s="34">
        <v>18</v>
      </c>
      <c r="G195" s="34" t="s">
        <v>99</v>
      </c>
      <c r="H195" s="35">
        <v>286</v>
      </c>
      <c r="I195" s="34" t="s">
        <v>45</v>
      </c>
      <c r="J195" s="36" t="s">
        <v>54</v>
      </c>
      <c r="K195" s="37"/>
      <c r="L195" s="38"/>
      <c r="M195" s="38">
        <v>286</v>
      </c>
      <c r="N195" s="38"/>
      <c r="O195" s="38"/>
      <c r="P195" s="38"/>
      <c r="Q195" s="39">
        <f t="shared" si="54"/>
        <v>286</v>
      </c>
      <c r="R195" s="310">
        <f>SUM(Q195:Q199)</f>
        <v>1262.4000000000001</v>
      </c>
      <c r="S195" s="66" t="s">
        <v>553</v>
      </c>
      <c r="T195" s="45"/>
      <c r="U195" s="247"/>
      <c r="V195" s="46"/>
      <c r="W195" s="46"/>
    </row>
    <row r="196" spans="1:23" s="47" customFormat="1" ht="54.75" customHeight="1">
      <c r="A196" s="308"/>
      <c r="B196" s="33" t="s">
        <v>335</v>
      </c>
      <c r="C196" s="36">
        <v>117</v>
      </c>
      <c r="D196" s="36">
        <v>4</v>
      </c>
      <c r="E196" s="239">
        <v>184</v>
      </c>
      <c r="F196" s="34" t="s">
        <v>336</v>
      </c>
      <c r="G196" s="34" t="s">
        <v>99</v>
      </c>
      <c r="H196" s="35">
        <v>199.3</v>
      </c>
      <c r="I196" s="34" t="s">
        <v>49</v>
      </c>
      <c r="J196" s="36" t="s">
        <v>74</v>
      </c>
      <c r="K196" s="37">
        <f t="shared" si="53"/>
        <v>184</v>
      </c>
      <c r="L196" s="38">
        <f t="shared" si="57"/>
        <v>15.300000000000011</v>
      </c>
      <c r="M196" s="38"/>
      <c r="N196" s="38"/>
      <c r="O196" s="38"/>
      <c r="P196" s="38"/>
      <c r="Q196" s="39">
        <f t="shared" si="54"/>
        <v>199.3</v>
      </c>
      <c r="R196" s="311"/>
      <c r="S196" s="66" t="str">
        <f t="shared" ref="S196:S203" si="58">I196</f>
        <v>LUK</v>
      </c>
      <c r="T196" s="45"/>
      <c r="U196" s="247"/>
      <c r="V196" s="46"/>
      <c r="W196" s="46"/>
    </row>
    <row r="197" spans="1:23" s="47" customFormat="1" ht="54.75" customHeight="1">
      <c r="A197" s="308"/>
      <c r="B197" s="33" t="s">
        <v>335</v>
      </c>
      <c r="C197" s="72">
        <v>81</v>
      </c>
      <c r="D197" s="72">
        <v>4</v>
      </c>
      <c r="E197" s="73">
        <v>720</v>
      </c>
      <c r="F197" s="34" t="s">
        <v>337</v>
      </c>
      <c r="G197" s="34" t="s">
        <v>99</v>
      </c>
      <c r="H197" s="35">
        <v>77.3</v>
      </c>
      <c r="I197" s="34" t="s">
        <v>45</v>
      </c>
      <c r="J197" s="36" t="s">
        <v>60</v>
      </c>
      <c r="K197" s="37">
        <v>77.3</v>
      </c>
      <c r="L197" s="38">
        <f t="shared" si="57"/>
        <v>0</v>
      </c>
      <c r="M197" s="38"/>
      <c r="N197" s="38"/>
      <c r="O197" s="38"/>
      <c r="P197" s="38"/>
      <c r="Q197" s="39">
        <f t="shared" si="54"/>
        <v>77.3</v>
      </c>
      <c r="R197" s="311"/>
      <c r="S197" s="66" t="str">
        <f t="shared" si="58"/>
        <v>LUC</v>
      </c>
      <c r="T197" s="45"/>
      <c r="U197" s="247"/>
      <c r="V197" s="46"/>
      <c r="W197" s="46"/>
    </row>
    <row r="198" spans="1:23" s="47" customFormat="1" ht="54.75" customHeight="1">
      <c r="A198" s="308"/>
      <c r="B198" s="33" t="s">
        <v>335</v>
      </c>
      <c r="C198" s="74"/>
      <c r="D198" s="74"/>
      <c r="E198" s="75"/>
      <c r="F198" s="34" t="s">
        <v>338</v>
      </c>
      <c r="G198" s="34" t="s">
        <v>99</v>
      </c>
      <c r="H198" s="35">
        <v>526.20000000000005</v>
      </c>
      <c r="I198" s="34" t="s">
        <v>45</v>
      </c>
      <c r="J198" s="36" t="s">
        <v>60</v>
      </c>
      <c r="K198" s="37">
        <v>526.20000000000005</v>
      </c>
      <c r="L198" s="38">
        <f t="shared" si="57"/>
        <v>0</v>
      </c>
      <c r="M198" s="38"/>
      <c r="N198" s="38"/>
      <c r="O198" s="38"/>
      <c r="P198" s="38"/>
      <c r="Q198" s="39">
        <f t="shared" si="54"/>
        <v>526.20000000000005</v>
      </c>
      <c r="R198" s="311"/>
      <c r="S198" s="66" t="str">
        <f t="shared" si="58"/>
        <v>LUC</v>
      </c>
      <c r="T198" s="81"/>
      <c r="U198" s="247"/>
      <c r="V198" s="46"/>
      <c r="W198" s="46"/>
    </row>
    <row r="199" spans="1:23" s="47" customFormat="1" ht="54.75" customHeight="1">
      <c r="A199" s="309"/>
      <c r="B199" s="33" t="s">
        <v>335</v>
      </c>
      <c r="C199" s="77"/>
      <c r="D199" s="77"/>
      <c r="E199" s="78"/>
      <c r="F199" s="34" t="s">
        <v>339</v>
      </c>
      <c r="G199" s="34" t="s">
        <v>99</v>
      </c>
      <c r="H199" s="35">
        <v>173.6</v>
      </c>
      <c r="I199" s="34" t="s">
        <v>45</v>
      </c>
      <c r="J199" s="36" t="s">
        <v>60</v>
      </c>
      <c r="K199" s="37">
        <f>720-77.3-526.2</f>
        <v>116.5</v>
      </c>
      <c r="L199" s="38">
        <f t="shared" si="57"/>
        <v>57.099999999999994</v>
      </c>
      <c r="M199" s="38"/>
      <c r="N199" s="38"/>
      <c r="O199" s="38"/>
      <c r="P199" s="38"/>
      <c r="Q199" s="39">
        <f t="shared" si="54"/>
        <v>173.6</v>
      </c>
      <c r="R199" s="312"/>
      <c r="S199" s="66" t="str">
        <f t="shared" si="58"/>
        <v>LUC</v>
      </c>
      <c r="T199" s="81"/>
      <c r="U199" s="247"/>
      <c r="V199" s="46"/>
      <c r="W199" s="46"/>
    </row>
    <row r="200" spans="1:23" s="47" customFormat="1" ht="54.75" customHeight="1">
      <c r="A200" s="32">
        <v>69</v>
      </c>
      <c r="B200" s="33" t="s">
        <v>340</v>
      </c>
      <c r="C200" s="36">
        <v>84</v>
      </c>
      <c r="D200" s="36">
        <v>5</v>
      </c>
      <c r="E200" s="239">
        <v>36</v>
      </c>
      <c r="F200" s="34" t="s">
        <v>341</v>
      </c>
      <c r="G200" s="34" t="s">
        <v>99</v>
      </c>
      <c r="H200" s="35">
        <v>83.3</v>
      </c>
      <c r="I200" s="34" t="s">
        <v>55</v>
      </c>
      <c r="J200" s="36" t="s">
        <v>60</v>
      </c>
      <c r="K200" s="37">
        <f t="shared" si="53"/>
        <v>36</v>
      </c>
      <c r="L200" s="38">
        <f t="shared" si="57"/>
        <v>47.3</v>
      </c>
      <c r="M200" s="38"/>
      <c r="N200" s="38"/>
      <c r="O200" s="38"/>
      <c r="P200" s="38"/>
      <c r="Q200" s="39">
        <f t="shared" si="54"/>
        <v>83.3</v>
      </c>
      <c r="R200" s="63">
        <f>Q200</f>
        <v>83.3</v>
      </c>
      <c r="S200" s="66" t="str">
        <f t="shared" si="58"/>
        <v>BHK</v>
      </c>
      <c r="T200" s="45"/>
      <c r="U200" s="247"/>
      <c r="V200" s="46"/>
      <c r="W200" s="46"/>
    </row>
    <row r="201" spans="1:23" s="47" customFormat="1" ht="49.5" customHeight="1">
      <c r="A201" s="307">
        <v>70</v>
      </c>
      <c r="B201" s="33" t="s">
        <v>344</v>
      </c>
      <c r="C201" s="36">
        <v>116</v>
      </c>
      <c r="D201" s="36">
        <v>4</v>
      </c>
      <c r="E201" s="239">
        <v>480</v>
      </c>
      <c r="F201" s="34" t="s">
        <v>345</v>
      </c>
      <c r="G201" s="34" t="s">
        <v>99</v>
      </c>
      <c r="H201" s="35">
        <v>679.7</v>
      </c>
      <c r="I201" s="34" t="s">
        <v>49</v>
      </c>
      <c r="J201" s="36" t="s">
        <v>57</v>
      </c>
      <c r="K201" s="37">
        <f t="shared" si="53"/>
        <v>480</v>
      </c>
      <c r="L201" s="38">
        <f t="shared" si="57"/>
        <v>199.70000000000005</v>
      </c>
      <c r="M201" s="38"/>
      <c r="N201" s="38"/>
      <c r="O201" s="38"/>
      <c r="P201" s="38"/>
      <c r="Q201" s="39">
        <f t="shared" si="54"/>
        <v>679.7</v>
      </c>
      <c r="R201" s="310">
        <f>SUM(Q201:Q203)</f>
        <v>1308.5</v>
      </c>
      <c r="S201" s="66" t="str">
        <f t="shared" si="58"/>
        <v>LUK</v>
      </c>
      <c r="T201" s="45"/>
      <c r="U201" s="247"/>
      <c r="V201" s="46"/>
      <c r="W201" s="46"/>
    </row>
    <row r="202" spans="1:23" s="47" customFormat="1" ht="49.5" customHeight="1">
      <c r="A202" s="308"/>
      <c r="B202" s="33" t="s">
        <v>344</v>
      </c>
      <c r="C202" s="36">
        <v>9</v>
      </c>
      <c r="D202" s="36">
        <v>4</v>
      </c>
      <c r="E202" s="239">
        <v>384</v>
      </c>
      <c r="F202" s="34" t="s">
        <v>346</v>
      </c>
      <c r="G202" s="34" t="s">
        <v>96</v>
      </c>
      <c r="H202" s="35">
        <v>384.7</v>
      </c>
      <c r="I202" s="34" t="s">
        <v>45</v>
      </c>
      <c r="J202" s="36" t="s">
        <v>54</v>
      </c>
      <c r="K202" s="37">
        <f t="shared" si="53"/>
        <v>384</v>
      </c>
      <c r="L202" s="38">
        <f t="shared" si="57"/>
        <v>0.69999999999998863</v>
      </c>
      <c r="M202" s="38"/>
      <c r="N202" s="38"/>
      <c r="O202" s="38"/>
      <c r="P202" s="38"/>
      <c r="Q202" s="39">
        <f t="shared" si="54"/>
        <v>384.7</v>
      </c>
      <c r="R202" s="311"/>
      <c r="S202" s="66" t="str">
        <f t="shared" si="58"/>
        <v>LUC</v>
      </c>
      <c r="T202" s="45"/>
      <c r="U202" s="247"/>
      <c r="V202" s="46"/>
      <c r="W202" s="46"/>
    </row>
    <row r="203" spans="1:23" s="47" customFormat="1" ht="49.5" customHeight="1">
      <c r="A203" s="309"/>
      <c r="B203" s="33" t="s">
        <v>344</v>
      </c>
      <c r="C203" s="36">
        <v>105</v>
      </c>
      <c r="D203" s="36">
        <v>4</v>
      </c>
      <c r="E203" s="239">
        <v>240</v>
      </c>
      <c r="F203" s="34" t="s">
        <v>347</v>
      </c>
      <c r="G203" s="34" t="s">
        <v>99</v>
      </c>
      <c r="H203" s="35">
        <v>259.7</v>
      </c>
      <c r="I203" s="34" t="s">
        <v>45</v>
      </c>
      <c r="J203" s="36" t="s">
        <v>60</v>
      </c>
      <c r="K203" s="37">
        <f t="shared" si="53"/>
        <v>240</v>
      </c>
      <c r="L203" s="38">
        <v>4.0999999999999996</v>
      </c>
      <c r="M203" s="38"/>
      <c r="N203" s="38"/>
      <c r="O203" s="38"/>
      <c r="P203" s="38"/>
      <c r="Q203" s="39">
        <f t="shared" si="54"/>
        <v>244.1</v>
      </c>
      <c r="R203" s="311"/>
      <c r="S203" s="66" t="str">
        <f t="shared" si="58"/>
        <v>LUC</v>
      </c>
      <c r="T203" s="45"/>
      <c r="U203" s="247"/>
      <c r="V203" s="46"/>
      <c r="W203" s="46"/>
    </row>
    <row r="204" spans="1:23" s="47" customFormat="1" ht="49.5" customHeight="1">
      <c r="A204" s="307">
        <v>71</v>
      </c>
      <c r="B204" s="33" t="s">
        <v>348</v>
      </c>
      <c r="C204" s="36"/>
      <c r="D204" s="36"/>
      <c r="E204" s="239"/>
      <c r="F204" s="34" t="s">
        <v>349</v>
      </c>
      <c r="G204" s="34" t="s">
        <v>96</v>
      </c>
      <c r="H204" s="35">
        <v>184.8</v>
      </c>
      <c r="I204" s="34" t="s">
        <v>55</v>
      </c>
      <c r="J204" s="36" t="s">
        <v>260</v>
      </c>
      <c r="K204" s="37"/>
      <c r="L204" s="38"/>
      <c r="M204" s="38">
        <v>184.8</v>
      </c>
      <c r="N204" s="38"/>
      <c r="O204" s="38"/>
      <c r="P204" s="38"/>
      <c r="Q204" s="39">
        <f t="shared" si="54"/>
        <v>184.8</v>
      </c>
      <c r="R204" s="310">
        <f>SUM(Q204:Q207)</f>
        <v>1523.3</v>
      </c>
      <c r="S204" s="66" t="s">
        <v>553</v>
      </c>
      <c r="T204" s="45"/>
      <c r="U204" s="247"/>
      <c r="V204" s="46"/>
      <c r="W204" s="46"/>
    </row>
    <row r="205" spans="1:23" s="47" customFormat="1" ht="49.5" customHeight="1">
      <c r="A205" s="308"/>
      <c r="B205" s="33" t="s">
        <v>348</v>
      </c>
      <c r="C205" s="36">
        <v>216</v>
      </c>
      <c r="D205" s="36">
        <v>4</v>
      </c>
      <c r="E205" s="239">
        <v>216</v>
      </c>
      <c r="F205" s="34" t="s">
        <v>351</v>
      </c>
      <c r="G205" s="34" t="s">
        <v>99</v>
      </c>
      <c r="H205" s="35">
        <v>259</v>
      </c>
      <c r="I205" s="34" t="s">
        <v>49</v>
      </c>
      <c r="J205" s="36" t="s">
        <v>50</v>
      </c>
      <c r="K205" s="37">
        <f t="shared" si="53"/>
        <v>216</v>
      </c>
      <c r="L205" s="38">
        <f t="shared" si="57"/>
        <v>43</v>
      </c>
      <c r="M205" s="38"/>
      <c r="N205" s="38"/>
      <c r="O205" s="38"/>
      <c r="P205" s="38"/>
      <c r="Q205" s="39">
        <f t="shared" si="54"/>
        <v>259</v>
      </c>
      <c r="R205" s="311"/>
      <c r="S205" s="66" t="str">
        <f t="shared" ref="S205:S218" si="59">I205</f>
        <v>LUK</v>
      </c>
      <c r="T205" s="45"/>
      <c r="U205" s="247"/>
      <c r="V205" s="46"/>
      <c r="W205" s="46"/>
    </row>
    <row r="206" spans="1:23" s="47" customFormat="1" ht="49.5" customHeight="1">
      <c r="A206" s="308"/>
      <c r="B206" s="33" t="s">
        <v>348</v>
      </c>
      <c r="C206" s="36">
        <v>55</v>
      </c>
      <c r="D206" s="36">
        <v>4</v>
      </c>
      <c r="E206" s="239">
        <v>936</v>
      </c>
      <c r="F206" s="34" t="s">
        <v>352</v>
      </c>
      <c r="G206" s="34" t="s">
        <v>99</v>
      </c>
      <c r="H206" s="35">
        <v>925</v>
      </c>
      <c r="I206" s="34" t="s">
        <v>45</v>
      </c>
      <c r="J206" s="36" t="s">
        <v>54</v>
      </c>
      <c r="K206" s="37">
        <v>925</v>
      </c>
      <c r="L206" s="38"/>
      <c r="M206" s="38"/>
      <c r="N206" s="38"/>
      <c r="O206" s="38"/>
      <c r="P206" s="38"/>
      <c r="Q206" s="39">
        <f t="shared" si="54"/>
        <v>925</v>
      </c>
      <c r="R206" s="311"/>
      <c r="S206" s="66" t="str">
        <f t="shared" si="59"/>
        <v>LUC</v>
      </c>
      <c r="T206" s="45"/>
      <c r="U206" s="247"/>
      <c r="V206" s="46"/>
      <c r="W206" s="46"/>
    </row>
    <row r="207" spans="1:23" s="47" customFormat="1" ht="49.5" customHeight="1">
      <c r="A207" s="308"/>
      <c r="B207" s="33" t="s">
        <v>348</v>
      </c>
      <c r="C207" s="36">
        <v>77</v>
      </c>
      <c r="D207" s="36">
        <v>4</v>
      </c>
      <c r="E207" s="239">
        <v>132</v>
      </c>
      <c r="F207" s="34" t="s">
        <v>353</v>
      </c>
      <c r="G207" s="34" t="s">
        <v>99</v>
      </c>
      <c r="H207" s="35">
        <v>154.5</v>
      </c>
      <c r="I207" s="34" t="s">
        <v>55</v>
      </c>
      <c r="J207" s="36" t="s">
        <v>56</v>
      </c>
      <c r="K207" s="37">
        <f t="shared" si="53"/>
        <v>132</v>
      </c>
      <c r="L207" s="38">
        <f t="shared" si="57"/>
        <v>22.5</v>
      </c>
      <c r="M207" s="38"/>
      <c r="N207" s="38"/>
      <c r="O207" s="38"/>
      <c r="P207" s="38"/>
      <c r="Q207" s="39">
        <f t="shared" si="54"/>
        <v>154.5</v>
      </c>
      <c r="R207" s="311"/>
      <c r="S207" s="66" t="str">
        <f t="shared" si="59"/>
        <v>BHK</v>
      </c>
      <c r="T207" s="45"/>
      <c r="U207" s="247"/>
      <c r="V207" s="46"/>
      <c r="W207" s="46"/>
    </row>
    <row r="208" spans="1:23" s="47" customFormat="1" ht="49.5" customHeight="1">
      <c r="A208" s="307">
        <v>72</v>
      </c>
      <c r="B208" s="33" t="s">
        <v>354</v>
      </c>
      <c r="C208" s="36">
        <v>54</v>
      </c>
      <c r="D208" s="36">
        <v>4</v>
      </c>
      <c r="E208" s="239">
        <v>360</v>
      </c>
      <c r="F208" s="34" t="s">
        <v>355</v>
      </c>
      <c r="G208" s="34" t="s">
        <v>96</v>
      </c>
      <c r="H208" s="35">
        <v>399.9</v>
      </c>
      <c r="I208" s="34" t="s">
        <v>45</v>
      </c>
      <c r="J208" s="36" t="s">
        <v>54</v>
      </c>
      <c r="K208" s="37">
        <f t="shared" si="53"/>
        <v>360</v>
      </c>
      <c r="L208" s="38">
        <f t="shared" ref="L208" si="60">H208-K208</f>
        <v>39.899999999999977</v>
      </c>
      <c r="M208" s="38"/>
      <c r="N208" s="38"/>
      <c r="O208" s="38"/>
      <c r="P208" s="38"/>
      <c r="Q208" s="39">
        <f t="shared" si="54"/>
        <v>399.9</v>
      </c>
      <c r="R208" s="310">
        <f>SUM(Q208:Q209)</f>
        <v>497.29999999999995</v>
      </c>
      <c r="S208" s="66" t="str">
        <f t="shared" si="59"/>
        <v>LUC</v>
      </c>
      <c r="T208" s="45"/>
      <c r="U208" s="247"/>
      <c r="V208" s="46"/>
      <c r="W208" s="46"/>
    </row>
    <row r="209" spans="1:23" s="47" customFormat="1" ht="49.5" customHeight="1">
      <c r="A209" s="308"/>
      <c r="B209" s="33" t="s">
        <v>354</v>
      </c>
      <c r="C209" s="36">
        <v>188</v>
      </c>
      <c r="D209" s="36">
        <v>5</v>
      </c>
      <c r="E209" s="239">
        <v>132</v>
      </c>
      <c r="F209" s="34" t="s">
        <v>357</v>
      </c>
      <c r="G209" s="34" t="s">
        <v>99</v>
      </c>
      <c r="H209" s="35">
        <v>97.4</v>
      </c>
      <c r="I209" s="34" t="s">
        <v>49</v>
      </c>
      <c r="J209" s="36" t="s">
        <v>57</v>
      </c>
      <c r="K209" s="37">
        <v>97.4</v>
      </c>
      <c r="L209" s="38"/>
      <c r="M209" s="38"/>
      <c r="N209" s="38"/>
      <c r="O209" s="38"/>
      <c r="P209" s="38"/>
      <c r="Q209" s="39">
        <f t="shared" si="54"/>
        <v>97.4</v>
      </c>
      <c r="R209" s="311"/>
      <c r="S209" s="66" t="str">
        <f t="shared" si="59"/>
        <v>LUK</v>
      </c>
      <c r="T209" s="45"/>
      <c r="U209" s="247"/>
      <c r="V209" s="46"/>
      <c r="W209" s="46"/>
    </row>
    <row r="210" spans="1:23" s="68" customFormat="1" ht="45" customHeight="1">
      <c r="A210" s="32">
        <v>73</v>
      </c>
      <c r="B210" s="33" t="s">
        <v>359</v>
      </c>
      <c r="C210" s="36">
        <v>211</v>
      </c>
      <c r="D210" s="36">
        <v>4</v>
      </c>
      <c r="E210" s="239">
        <v>144</v>
      </c>
      <c r="F210" s="34" t="s">
        <v>99</v>
      </c>
      <c r="G210" s="34" t="s">
        <v>360</v>
      </c>
      <c r="H210" s="35">
        <v>149.4</v>
      </c>
      <c r="I210" s="34" t="s">
        <v>49</v>
      </c>
      <c r="J210" s="36" t="s">
        <v>198</v>
      </c>
      <c r="K210" s="37">
        <f t="shared" ref="K210:K247" si="61">E210</f>
        <v>144</v>
      </c>
      <c r="L210" s="38">
        <f>H210-K210</f>
        <v>5.4000000000000057</v>
      </c>
      <c r="M210" s="38"/>
      <c r="N210" s="38"/>
      <c r="O210" s="38"/>
      <c r="P210" s="38"/>
      <c r="Q210" s="39">
        <f t="shared" si="54"/>
        <v>149.4</v>
      </c>
      <c r="R210" s="63">
        <f>Q210</f>
        <v>149.4</v>
      </c>
      <c r="S210" s="66" t="str">
        <f t="shared" si="59"/>
        <v>LUK</v>
      </c>
      <c r="T210" s="45"/>
      <c r="U210" s="248"/>
      <c r="V210" s="67"/>
      <c r="W210" s="67"/>
    </row>
    <row r="211" spans="1:23" s="68" customFormat="1" ht="44.25" customHeight="1">
      <c r="A211" s="307">
        <v>74</v>
      </c>
      <c r="B211" s="33" t="s">
        <v>361</v>
      </c>
      <c r="C211" s="36">
        <v>83</v>
      </c>
      <c r="D211" s="36">
        <v>4</v>
      </c>
      <c r="E211" s="239">
        <v>522</v>
      </c>
      <c r="F211" s="34" t="s">
        <v>362</v>
      </c>
      <c r="G211" s="34" t="s">
        <v>99</v>
      </c>
      <c r="H211" s="35">
        <v>521.6</v>
      </c>
      <c r="I211" s="34" t="s">
        <v>45</v>
      </c>
      <c r="J211" s="36" t="s">
        <v>60</v>
      </c>
      <c r="K211" s="37">
        <v>503.8</v>
      </c>
      <c r="L211" s="38"/>
      <c r="M211" s="38"/>
      <c r="N211" s="38"/>
      <c r="O211" s="38"/>
      <c r="P211" s="38"/>
      <c r="Q211" s="39">
        <f t="shared" si="54"/>
        <v>503.8</v>
      </c>
      <c r="R211" s="310">
        <f>SUM(Q211:Q214)</f>
        <v>703.2</v>
      </c>
      <c r="S211" s="66" t="str">
        <f t="shared" si="59"/>
        <v>LUC</v>
      </c>
      <c r="T211" s="45"/>
      <c r="U211" s="248"/>
      <c r="V211" s="67"/>
      <c r="W211" s="67"/>
    </row>
    <row r="212" spans="1:23" s="68" customFormat="1" ht="49.5" customHeight="1">
      <c r="A212" s="308"/>
      <c r="B212" s="33" t="s">
        <v>361</v>
      </c>
      <c r="C212" s="36"/>
      <c r="D212" s="36"/>
      <c r="E212" s="239"/>
      <c r="F212" s="34">
        <v>273</v>
      </c>
      <c r="G212" s="34">
        <v>28</v>
      </c>
      <c r="H212" s="35">
        <v>240.2</v>
      </c>
      <c r="I212" s="34" t="s">
        <v>45</v>
      </c>
      <c r="J212" s="36" t="s">
        <v>60</v>
      </c>
      <c r="K212" s="37">
        <f>522-503.8</f>
        <v>18.199999999999989</v>
      </c>
      <c r="L212" s="38">
        <f>35.7-18.2</f>
        <v>17.500000000000004</v>
      </c>
      <c r="M212" s="38"/>
      <c r="N212" s="38"/>
      <c r="O212" s="38"/>
      <c r="P212" s="38"/>
      <c r="Q212" s="39">
        <f t="shared" si="54"/>
        <v>35.699999999999989</v>
      </c>
      <c r="R212" s="311"/>
      <c r="S212" s="66" t="str">
        <f t="shared" si="59"/>
        <v>LUC</v>
      </c>
      <c r="T212" s="45"/>
      <c r="U212" s="248"/>
      <c r="V212" s="67"/>
      <c r="W212" s="67"/>
    </row>
    <row r="213" spans="1:23" s="68" customFormat="1" ht="49.5" customHeight="1">
      <c r="A213" s="308"/>
      <c r="B213" s="33" t="s">
        <v>361</v>
      </c>
      <c r="C213" s="36"/>
      <c r="D213" s="36"/>
      <c r="E213" s="239"/>
      <c r="F213" s="34" t="s">
        <v>363</v>
      </c>
      <c r="G213" s="34" t="s">
        <v>99</v>
      </c>
      <c r="H213" s="35">
        <v>46.5</v>
      </c>
      <c r="I213" s="34" t="s">
        <v>49</v>
      </c>
      <c r="J213" s="36" t="s">
        <v>57</v>
      </c>
      <c r="K213" s="37"/>
      <c r="L213" s="38">
        <f t="shared" ref="L213:L214" si="62">H213-K213</f>
        <v>46.5</v>
      </c>
      <c r="M213" s="38"/>
      <c r="N213" s="38"/>
      <c r="O213" s="38"/>
      <c r="P213" s="38"/>
      <c r="Q213" s="39">
        <f t="shared" si="54"/>
        <v>46.5</v>
      </c>
      <c r="R213" s="311"/>
      <c r="S213" s="66" t="str">
        <f t="shared" si="59"/>
        <v>LUK</v>
      </c>
      <c r="T213" s="45"/>
      <c r="U213" s="248"/>
      <c r="V213" s="67"/>
      <c r="W213" s="67"/>
    </row>
    <row r="214" spans="1:23" s="68" customFormat="1" ht="49.5" customHeight="1">
      <c r="A214" s="309"/>
      <c r="B214" s="33" t="s">
        <v>361</v>
      </c>
      <c r="C214" s="36">
        <v>123</v>
      </c>
      <c r="D214" s="36">
        <v>5</v>
      </c>
      <c r="E214" s="239">
        <v>48</v>
      </c>
      <c r="F214" s="34" t="s">
        <v>364</v>
      </c>
      <c r="G214" s="34" t="s">
        <v>99</v>
      </c>
      <c r="H214" s="35">
        <v>117.2</v>
      </c>
      <c r="I214" s="34" t="s">
        <v>49</v>
      </c>
      <c r="J214" s="36" t="s">
        <v>50</v>
      </c>
      <c r="K214" s="37">
        <f t="shared" si="61"/>
        <v>48</v>
      </c>
      <c r="L214" s="38">
        <f t="shared" si="62"/>
        <v>69.2</v>
      </c>
      <c r="M214" s="38"/>
      <c r="N214" s="38"/>
      <c r="O214" s="38"/>
      <c r="P214" s="38"/>
      <c r="Q214" s="39">
        <f t="shared" si="54"/>
        <v>117.2</v>
      </c>
      <c r="R214" s="312"/>
      <c r="S214" s="66" t="str">
        <f t="shared" si="59"/>
        <v>LUK</v>
      </c>
      <c r="T214" s="45"/>
      <c r="U214" s="248"/>
      <c r="V214" s="67"/>
      <c r="W214" s="67"/>
    </row>
    <row r="215" spans="1:23" s="47" customFormat="1" ht="49.5" customHeight="1">
      <c r="A215" s="307">
        <v>75</v>
      </c>
      <c r="B215" s="33" t="s">
        <v>366</v>
      </c>
      <c r="C215" s="36"/>
      <c r="D215" s="36"/>
      <c r="E215" s="239"/>
      <c r="F215" s="34">
        <v>280</v>
      </c>
      <c r="G215" s="34" t="s">
        <v>99</v>
      </c>
      <c r="H215" s="35">
        <v>280</v>
      </c>
      <c r="I215" s="34" t="s">
        <v>45</v>
      </c>
      <c r="J215" s="36" t="s">
        <v>50</v>
      </c>
      <c r="K215" s="37"/>
      <c r="L215" s="38">
        <v>9.3000000000000007</v>
      </c>
      <c r="M215" s="38"/>
      <c r="N215" s="38"/>
      <c r="O215" s="38"/>
      <c r="P215" s="38"/>
      <c r="Q215" s="39">
        <f t="shared" si="54"/>
        <v>9.3000000000000007</v>
      </c>
      <c r="R215" s="310">
        <f>SUM(Q215:Q218)</f>
        <v>523.70000000000005</v>
      </c>
      <c r="S215" s="66" t="str">
        <f t="shared" si="59"/>
        <v>LUC</v>
      </c>
      <c r="T215" s="45"/>
      <c r="U215" s="247"/>
      <c r="V215" s="46"/>
      <c r="W215" s="46"/>
    </row>
    <row r="216" spans="1:23" s="47" customFormat="1" ht="49.5" customHeight="1">
      <c r="A216" s="308"/>
      <c r="B216" s="33" t="s">
        <v>366</v>
      </c>
      <c r="C216" s="36">
        <v>194</v>
      </c>
      <c r="D216" s="36">
        <v>5</v>
      </c>
      <c r="E216" s="239">
        <v>240</v>
      </c>
      <c r="F216" s="34" t="s">
        <v>368</v>
      </c>
      <c r="G216" s="34" t="s">
        <v>99</v>
      </c>
      <c r="H216" s="35">
        <v>278.2</v>
      </c>
      <c r="I216" s="34" t="s">
        <v>45</v>
      </c>
      <c r="J216" s="36" t="s">
        <v>50</v>
      </c>
      <c r="K216" s="37">
        <f t="shared" si="61"/>
        <v>240</v>
      </c>
      <c r="L216" s="38">
        <f>H216-K216</f>
        <v>38.199999999999989</v>
      </c>
      <c r="M216" s="38"/>
      <c r="N216" s="38"/>
      <c r="O216" s="38"/>
      <c r="P216" s="38"/>
      <c r="Q216" s="39">
        <f t="shared" si="54"/>
        <v>278.2</v>
      </c>
      <c r="R216" s="311"/>
      <c r="S216" s="66" t="str">
        <f t="shared" si="59"/>
        <v>LUC</v>
      </c>
      <c r="T216" s="45"/>
      <c r="U216" s="247"/>
      <c r="V216" s="46"/>
      <c r="W216" s="46"/>
    </row>
    <row r="217" spans="1:23" s="47" customFormat="1" ht="49.5" customHeight="1">
      <c r="A217" s="308"/>
      <c r="B217" s="33" t="s">
        <v>366</v>
      </c>
      <c r="C217" s="36">
        <v>185</v>
      </c>
      <c r="D217" s="36">
        <v>5</v>
      </c>
      <c r="E217" s="239">
        <v>144</v>
      </c>
      <c r="F217" s="34" t="s">
        <v>370</v>
      </c>
      <c r="G217" s="34" t="s">
        <v>99</v>
      </c>
      <c r="H217" s="35">
        <v>96.4</v>
      </c>
      <c r="I217" s="34" t="s">
        <v>49</v>
      </c>
      <c r="J217" s="36" t="s">
        <v>57</v>
      </c>
      <c r="K217" s="37">
        <v>96.4</v>
      </c>
      <c r="L217" s="38">
        <f>H217-K217</f>
        <v>0</v>
      </c>
      <c r="M217" s="38"/>
      <c r="N217" s="38"/>
      <c r="O217" s="38"/>
      <c r="P217" s="38"/>
      <c r="Q217" s="39">
        <f t="shared" si="54"/>
        <v>96.4</v>
      </c>
      <c r="R217" s="311"/>
      <c r="S217" s="66" t="str">
        <f t="shared" si="59"/>
        <v>LUK</v>
      </c>
      <c r="T217" s="45"/>
      <c r="U217" s="247"/>
      <c r="V217" s="46"/>
      <c r="W217" s="46"/>
    </row>
    <row r="218" spans="1:23" s="47" customFormat="1" ht="49.5" customHeight="1">
      <c r="A218" s="308"/>
      <c r="B218" s="33" t="s">
        <v>366</v>
      </c>
      <c r="C218" s="36">
        <v>211</v>
      </c>
      <c r="D218" s="36">
        <v>4</v>
      </c>
      <c r="E218" s="239">
        <v>180</v>
      </c>
      <c r="F218" s="34" t="s">
        <v>372</v>
      </c>
      <c r="G218" s="34" t="s">
        <v>99</v>
      </c>
      <c r="H218" s="35">
        <v>139.80000000000001</v>
      </c>
      <c r="I218" s="34" t="s">
        <v>49</v>
      </c>
      <c r="J218" s="36" t="s">
        <v>57</v>
      </c>
      <c r="K218" s="37">
        <v>75.2</v>
      </c>
      <c r="L218" s="38"/>
      <c r="M218" s="38"/>
      <c r="N218" s="38"/>
      <c r="O218" s="38">
        <v>64.599999999999994</v>
      </c>
      <c r="P218" s="38"/>
      <c r="Q218" s="39">
        <f t="shared" si="54"/>
        <v>139.80000000000001</v>
      </c>
      <c r="R218" s="311"/>
      <c r="S218" s="66" t="str">
        <f t="shared" si="59"/>
        <v>LUK</v>
      </c>
      <c r="T218" s="45"/>
      <c r="U218" s="247"/>
      <c r="V218" s="46"/>
      <c r="W218" s="46"/>
    </row>
    <row r="219" spans="1:23" s="68" customFormat="1" ht="49.5" customHeight="1">
      <c r="A219" s="307">
        <v>76</v>
      </c>
      <c r="B219" s="33" t="s">
        <v>375</v>
      </c>
      <c r="C219" s="36"/>
      <c r="D219" s="36"/>
      <c r="E219" s="239"/>
      <c r="F219" s="34">
        <v>198</v>
      </c>
      <c r="G219" s="34" t="s">
        <v>96</v>
      </c>
      <c r="H219" s="35">
        <v>149.19999999999999</v>
      </c>
      <c r="I219" s="34" t="s">
        <v>55</v>
      </c>
      <c r="J219" s="36" t="s">
        <v>54</v>
      </c>
      <c r="K219" s="37"/>
      <c r="L219" s="38"/>
      <c r="M219" s="38">
        <v>149.19999999999999</v>
      </c>
      <c r="N219" s="38"/>
      <c r="O219" s="38"/>
      <c r="P219" s="38"/>
      <c r="Q219" s="39">
        <f t="shared" si="54"/>
        <v>149.19999999999999</v>
      </c>
      <c r="R219" s="310">
        <f>SUM(Q219:Q224)</f>
        <v>1006.8000000000001</v>
      </c>
      <c r="S219" s="66" t="s">
        <v>553</v>
      </c>
      <c r="T219" s="45"/>
      <c r="U219" s="248"/>
      <c r="V219" s="67"/>
      <c r="W219" s="67"/>
    </row>
    <row r="220" spans="1:23" s="68" customFormat="1" ht="49.5" customHeight="1">
      <c r="A220" s="308"/>
      <c r="B220" s="33" t="s">
        <v>375</v>
      </c>
      <c r="C220" s="36"/>
      <c r="D220" s="36"/>
      <c r="E220" s="239"/>
      <c r="F220" s="34">
        <v>197</v>
      </c>
      <c r="G220" s="34" t="s">
        <v>96</v>
      </c>
      <c r="H220" s="35">
        <v>135.6</v>
      </c>
      <c r="I220" s="34" t="s">
        <v>55</v>
      </c>
      <c r="J220" s="36" t="s">
        <v>54</v>
      </c>
      <c r="K220" s="37"/>
      <c r="L220" s="38"/>
      <c r="M220" s="38">
        <v>135.6</v>
      </c>
      <c r="N220" s="38"/>
      <c r="O220" s="38"/>
      <c r="P220" s="38"/>
      <c r="Q220" s="39">
        <f t="shared" si="54"/>
        <v>135.6</v>
      </c>
      <c r="R220" s="311"/>
      <c r="S220" s="66" t="s">
        <v>553</v>
      </c>
      <c r="T220" s="45"/>
      <c r="U220" s="248"/>
      <c r="V220" s="67"/>
      <c r="W220" s="67"/>
    </row>
    <row r="221" spans="1:23" s="68" customFormat="1" ht="49.5" customHeight="1">
      <c r="A221" s="308"/>
      <c r="B221" s="33" t="s">
        <v>375</v>
      </c>
      <c r="C221" s="36">
        <v>120</v>
      </c>
      <c r="D221" s="36">
        <v>5</v>
      </c>
      <c r="E221" s="239">
        <v>120</v>
      </c>
      <c r="F221" s="34" t="s">
        <v>377</v>
      </c>
      <c r="G221" s="34" t="s">
        <v>99</v>
      </c>
      <c r="H221" s="35">
        <v>134.6</v>
      </c>
      <c r="I221" s="34" t="s">
        <v>49</v>
      </c>
      <c r="J221" s="36" t="s">
        <v>50</v>
      </c>
      <c r="K221" s="37">
        <f t="shared" si="61"/>
        <v>120</v>
      </c>
      <c r="L221" s="38">
        <f t="shared" ref="L221:L233" si="63">H221-K221</f>
        <v>14.599999999999994</v>
      </c>
      <c r="M221" s="38"/>
      <c r="N221" s="38"/>
      <c r="O221" s="38"/>
      <c r="P221" s="38"/>
      <c r="Q221" s="39">
        <f t="shared" si="54"/>
        <v>134.6</v>
      </c>
      <c r="R221" s="311"/>
      <c r="S221" s="66" t="str">
        <f t="shared" ref="S221:S257" si="64">I221</f>
        <v>LUK</v>
      </c>
      <c r="T221" s="81"/>
      <c r="U221" s="248"/>
      <c r="V221" s="67"/>
      <c r="W221" s="67"/>
    </row>
    <row r="222" spans="1:23" s="68" customFormat="1" ht="49.5" customHeight="1">
      <c r="A222" s="308"/>
      <c r="B222" s="33" t="s">
        <v>375</v>
      </c>
      <c r="C222" s="36"/>
      <c r="D222" s="36"/>
      <c r="E222" s="239"/>
      <c r="F222" s="34" t="s">
        <v>378</v>
      </c>
      <c r="G222" s="34" t="s">
        <v>99</v>
      </c>
      <c r="H222" s="35">
        <v>156.80000000000001</v>
      </c>
      <c r="I222" s="34" t="s">
        <v>49</v>
      </c>
      <c r="J222" s="36" t="s">
        <v>50</v>
      </c>
      <c r="K222" s="37"/>
      <c r="L222" s="38">
        <f t="shared" si="63"/>
        <v>156.80000000000001</v>
      </c>
      <c r="M222" s="38"/>
      <c r="N222" s="38"/>
      <c r="O222" s="38"/>
      <c r="P222" s="38"/>
      <c r="Q222" s="39">
        <f t="shared" si="54"/>
        <v>156.80000000000001</v>
      </c>
      <c r="R222" s="240"/>
      <c r="S222" s="66" t="str">
        <f t="shared" si="64"/>
        <v>LUK</v>
      </c>
      <c r="T222" s="45"/>
      <c r="U222" s="248"/>
      <c r="V222" s="67"/>
      <c r="W222" s="67"/>
    </row>
    <row r="223" spans="1:23" s="68" customFormat="1" ht="49.5" customHeight="1">
      <c r="A223" s="308"/>
      <c r="B223" s="33" t="s">
        <v>375</v>
      </c>
      <c r="C223" s="36"/>
      <c r="D223" s="36"/>
      <c r="E223" s="239"/>
      <c r="F223" s="34" t="s">
        <v>379</v>
      </c>
      <c r="G223" s="34" t="s">
        <v>99</v>
      </c>
      <c r="H223" s="35">
        <v>287.60000000000002</v>
      </c>
      <c r="I223" s="34" t="s">
        <v>49</v>
      </c>
      <c r="J223" s="36" t="s">
        <v>57</v>
      </c>
      <c r="K223" s="37"/>
      <c r="L223" s="38">
        <f t="shared" si="63"/>
        <v>287.60000000000002</v>
      </c>
      <c r="M223" s="38"/>
      <c r="N223" s="38"/>
      <c r="O223" s="38">
        <f>287.6-L223</f>
        <v>0</v>
      </c>
      <c r="P223" s="38"/>
      <c r="Q223" s="39">
        <f t="shared" si="54"/>
        <v>287.60000000000002</v>
      </c>
      <c r="R223" s="240"/>
      <c r="S223" s="66" t="str">
        <f t="shared" si="64"/>
        <v>LUK</v>
      </c>
      <c r="T223" s="45"/>
      <c r="U223" s="248"/>
      <c r="V223" s="67"/>
      <c r="W223" s="67"/>
    </row>
    <row r="224" spans="1:23" s="68" customFormat="1" ht="49.5" customHeight="1">
      <c r="A224" s="309"/>
      <c r="B224" s="33" t="s">
        <v>375</v>
      </c>
      <c r="C224" s="36">
        <v>97</v>
      </c>
      <c r="D224" s="36">
        <v>5</v>
      </c>
      <c r="E224" s="239">
        <v>108</v>
      </c>
      <c r="F224" s="34" t="s">
        <v>380</v>
      </c>
      <c r="G224" s="34" t="s">
        <v>99</v>
      </c>
      <c r="H224" s="35">
        <v>261.89999999999998</v>
      </c>
      <c r="I224" s="34" t="s">
        <v>55</v>
      </c>
      <c r="J224" s="36" t="s">
        <v>60</v>
      </c>
      <c r="K224" s="37">
        <v>108</v>
      </c>
      <c r="L224" s="38">
        <f>143-108</f>
        <v>35</v>
      </c>
      <c r="M224" s="38"/>
      <c r="N224" s="38"/>
      <c r="O224" s="38"/>
      <c r="P224" s="38"/>
      <c r="Q224" s="39">
        <f t="shared" si="54"/>
        <v>143</v>
      </c>
      <c r="R224" s="94"/>
      <c r="S224" s="66" t="str">
        <f t="shared" si="64"/>
        <v>BHK</v>
      </c>
      <c r="T224" s="45"/>
      <c r="U224" s="248"/>
      <c r="V224" s="67"/>
      <c r="W224" s="67"/>
    </row>
    <row r="225" spans="1:23" s="68" customFormat="1" ht="49.5" customHeight="1">
      <c r="A225" s="307">
        <v>77</v>
      </c>
      <c r="B225" s="33" t="s">
        <v>382</v>
      </c>
      <c r="C225" s="36"/>
      <c r="D225" s="36"/>
      <c r="E225" s="239"/>
      <c r="F225" s="34">
        <v>218</v>
      </c>
      <c r="G225" s="34">
        <v>28</v>
      </c>
      <c r="H225" s="35">
        <v>59.8</v>
      </c>
      <c r="I225" s="34" t="s">
        <v>45</v>
      </c>
      <c r="J225" s="36" t="s">
        <v>50</v>
      </c>
      <c r="K225" s="37"/>
      <c r="L225" s="38">
        <f t="shared" ref="L225" si="65">H225-K225</f>
        <v>59.8</v>
      </c>
      <c r="M225" s="38"/>
      <c r="N225" s="38"/>
      <c r="O225" s="38"/>
      <c r="P225" s="38"/>
      <c r="Q225" s="39">
        <f t="shared" si="54"/>
        <v>59.8</v>
      </c>
      <c r="R225" s="310">
        <f>SUM(Q225:Q233)</f>
        <v>1682.4</v>
      </c>
      <c r="S225" s="66" t="str">
        <f t="shared" si="64"/>
        <v>LUC</v>
      </c>
      <c r="T225" s="45"/>
      <c r="U225" s="248"/>
      <c r="V225" s="67"/>
      <c r="W225" s="67"/>
    </row>
    <row r="226" spans="1:23" s="68" customFormat="1" ht="49.5" customHeight="1">
      <c r="A226" s="308"/>
      <c r="B226" s="33" t="s">
        <v>382</v>
      </c>
      <c r="C226" s="36">
        <v>9</v>
      </c>
      <c r="D226" s="36">
        <v>4</v>
      </c>
      <c r="E226" s="239">
        <v>312</v>
      </c>
      <c r="F226" s="34" t="s">
        <v>384</v>
      </c>
      <c r="G226" s="34" t="s">
        <v>96</v>
      </c>
      <c r="H226" s="35">
        <v>368.6</v>
      </c>
      <c r="I226" s="34" t="s">
        <v>45</v>
      </c>
      <c r="J226" s="36" t="s">
        <v>54</v>
      </c>
      <c r="K226" s="37">
        <f t="shared" si="61"/>
        <v>312</v>
      </c>
      <c r="L226" s="38">
        <f t="shared" si="63"/>
        <v>56.600000000000023</v>
      </c>
      <c r="M226" s="38"/>
      <c r="N226" s="38"/>
      <c r="O226" s="38"/>
      <c r="P226" s="38"/>
      <c r="Q226" s="39">
        <f t="shared" si="54"/>
        <v>368.6</v>
      </c>
      <c r="R226" s="311"/>
      <c r="S226" s="66" t="str">
        <f t="shared" si="64"/>
        <v>LUC</v>
      </c>
      <c r="T226" s="45"/>
      <c r="U226" s="248"/>
      <c r="V226" s="67"/>
      <c r="W226" s="67"/>
    </row>
    <row r="227" spans="1:23" s="68" customFormat="1" ht="49.5" customHeight="1">
      <c r="A227" s="308"/>
      <c r="B227" s="33" t="s">
        <v>382</v>
      </c>
      <c r="C227" s="72">
        <v>98</v>
      </c>
      <c r="D227" s="72">
        <v>4</v>
      </c>
      <c r="E227" s="73">
        <v>360</v>
      </c>
      <c r="F227" s="34" t="s">
        <v>385</v>
      </c>
      <c r="G227" s="34" t="s">
        <v>99</v>
      </c>
      <c r="H227" s="35">
        <v>471.5</v>
      </c>
      <c r="I227" s="34" t="s">
        <v>45</v>
      </c>
      <c r="J227" s="36" t="s">
        <v>60</v>
      </c>
      <c r="K227" s="37">
        <v>354.7</v>
      </c>
      <c r="L227" s="38"/>
      <c r="M227" s="38"/>
      <c r="N227" s="38"/>
      <c r="O227" s="38"/>
      <c r="P227" s="38"/>
      <c r="Q227" s="39">
        <f t="shared" si="54"/>
        <v>354.7</v>
      </c>
      <c r="R227" s="311"/>
      <c r="S227" s="66" t="str">
        <f t="shared" si="64"/>
        <v>LUC</v>
      </c>
      <c r="T227" s="45"/>
      <c r="U227" s="248"/>
      <c r="V227" s="67"/>
      <c r="W227" s="67"/>
    </row>
    <row r="228" spans="1:23" s="68" customFormat="1" ht="49.5" customHeight="1">
      <c r="A228" s="308"/>
      <c r="B228" s="33" t="s">
        <v>382</v>
      </c>
      <c r="C228" s="77"/>
      <c r="D228" s="77"/>
      <c r="E228" s="78"/>
      <c r="F228" s="34">
        <v>73</v>
      </c>
      <c r="G228" s="34" t="s">
        <v>99</v>
      </c>
      <c r="H228" s="35">
        <v>373.1</v>
      </c>
      <c r="I228" s="34" t="s">
        <v>45</v>
      </c>
      <c r="J228" s="36" t="s">
        <v>60</v>
      </c>
      <c r="K228" s="37">
        <f>360-354.7</f>
        <v>5.3000000000000114</v>
      </c>
      <c r="L228" s="38">
        <f>46.4-5.3</f>
        <v>41.1</v>
      </c>
      <c r="M228" s="38"/>
      <c r="N228" s="38"/>
      <c r="O228" s="38"/>
      <c r="P228" s="38"/>
      <c r="Q228" s="39">
        <f t="shared" si="54"/>
        <v>46.400000000000013</v>
      </c>
      <c r="R228" s="311"/>
      <c r="S228" s="66" t="str">
        <f t="shared" si="64"/>
        <v>LUC</v>
      </c>
      <c r="T228" s="45"/>
      <c r="U228" s="248"/>
      <c r="V228" s="67"/>
      <c r="W228" s="67"/>
    </row>
    <row r="229" spans="1:23" s="68" customFormat="1" ht="49.5" customHeight="1">
      <c r="A229" s="308"/>
      <c r="B229" s="33" t="s">
        <v>382</v>
      </c>
      <c r="C229" s="36">
        <v>86</v>
      </c>
      <c r="D229" s="36">
        <v>4</v>
      </c>
      <c r="E229" s="239">
        <v>84</v>
      </c>
      <c r="F229" s="34" t="s">
        <v>386</v>
      </c>
      <c r="G229" s="34" t="s">
        <v>99</v>
      </c>
      <c r="H229" s="35">
        <v>197.4</v>
      </c>
      <c r="I229" s="34" t="s">
        <v>55</v>
      </c>
      <c r="J229" s="36" t="s">
        <v>60</v>
      </c>
      <c r="K229" s="37">
        <f t="shared" si="61"/>
        <v>84</v>
      </c>
      <c r="L229" s="38">
        <f>197.4-84-60</f>
        <v>53.400000000000006</v>
      </c>
      <c r="M229" s="38"/>
      <c r="N229" s="38"/>
      <c r="O229" s="38"/>
      <c r="P229" s="38"/>
      <c r="Q229" s="39">
        <f t="shared" ref="Q229:Q261" si="66">K229+L229+N229+O229+M229</f>
        <v>137.4</v>
      </c>
      <c r="R229" s="311"/>
      <c r="S229" s="66" t="str">
        <f t="shared" si="64"/>
        <v>BHK</v>
      </c>
      <c r="T229" s="45"/>
      <c r="U229" s="248"/>
      <c r="V229" s="67"/>
      <c r="W229" s="67"/>
    </row>
    <row r="230" spans="1:23" s="68" customFormat="1" ht="49.5" customHeight="1">
      <c r="A230" s="308"/>
      <c r="B230" s="33" t="s">
        <v>382</v>
      </c>
      <c r="C230" s="36"/>
      <c r="D230" s="36"/>
      <c r="E230" s="239"/>
      <c r="F230" s="34" t="s">
        <v>387</v>
      </c>
      <c r="G230" s="34" t="s">
        <v>99</v>
      </c>
      <c r="H230" s="35">
        <v>67.8</v>
      </c>
      <c r="I230" s="34" t="s">
        <v>45</v>
      </c>
      <c r="J230" s="36" t="s">
        <v>50</v>
      </c>
      <c r="K230" s="37"/>
      <c r="L230" s="38">
        <f t="shared" si="63"/>
        <v>67.8</v>
      </c>
      <c r="M230" s="38"/>
      <c r="N230" s="38"/>
      <c r="O230" s="38"/>
      <c r="P230" s="38"/>
      <c r="Q230" s="39">
        <f t="shared" si="66"/>
        <v>67.8</v>
      </c>
      <c r="R230" s="311"/>
      <c r="S230" s="66" t="str">
        <f t="shared" si="64"/>
        <v>LUC</v>
      </c>
      <c r="T230" s="81"/>
      <c r="U230" s="248"/>
      <c r="V230" s="67"/>
      <c r="W230" s="67"/>
    </row>
    <row r="231" spans="1:23" s="68" customFormat="1" ht="49.5" customHeight="1">
      <c r="A231" s="308"/>
      <c r="B231" s="33" t="s">
        <v>382</v>
      </c>
      <c r="C231" s="36">
        <v>124</v>
      </c>
      <c r="D231" s="36">
        <v>5</v>
      </c>
      <c r="E231" s="239">
        <v>132</v>
      </c>
      <c r="F231" s="34" t="s">
        <v>388</v>
      </c>
      <c r="G231" s="34" t="s">
        <v>99</v>
      </c>
      <c r="H231" s="35">
        <v>246.5</v>
      </c>
      <c r="I231" s="34" t="s">
        <v>49</v>
      </c>
      <c r="J231" s="36" t="s">
        <v>50</v>
      </c>
      <c r="K231" s="37">
        <f t="shared" si="61"/>
        <v>132</v>
      </c>
      <c r="L231" s="38">
        <f t="shared" si="63"/>
        <v>114.5</v>
      </c>
      <c r="M231" s="38"/>
      <c r="N231" s="38"/>
      <c r="O231" s="38"/>
      <c r="P231" s="38"/>
      <c r="Q231" s="39">
        <f t="shared" si="66"/>
        <v>246.5</v>
      </c>
      <c r="R231" s="311"/>
      <c r="S231" s="66" t="str">
        <f t="shared" si="64"/>
        <v>LUK</v>
      </c>
      <c r="T231" s="45"/>
      <c r="U231" s="248"/>
      <c r="V231" s="67"/>
      <c r="W231" s="67"/>
    </row>
    <row r="232" spans="1:23" s="68" customFormat="1" ht="49.5" customHeight="1">
      <c r="A232" s="308"/>
      <c r="B232" s="33" t="s">
        <v>382</v>
      </c>
      <c r="C232" s="36">
        <v>120</v>
      </c>
      <c r="D232" s="36">
        <v>5</v>
      </c>
      <c r="E232" s="239">
        <v>120</v>
      </c>
      <c r="F232" s="34" t="s">
        <v>390</v>
      </c>
      <c r="G232" s="34" t="s">
        <v>99</v>
      </c>
      <c r="H232" s="35">
        <v>158</v>
      </c>
      <c r="I232" s="34" t="s">
        <v>49</v>
      </c>
      <c r="J232" s="36" t="s">
        <v>50</v>
      </c>
      <c r="K232" s="37">
        <f t="shared" si="61"/>
        <v>120</v>
      </c>
      <c r="L232" s="38">
        <f t="shared" si="63"/>
        <v>38</v>
      </c>
      <c r="M232" s="38"/>
      <c r="N232" s="38"/>
      <c r="O232" s="38"/>
      <c r="P232" s="38"/>
      <c r="Q232" s="39">
        <f t="shared" si="66"/>
        <v>158</v>
      </c>
      <c r="R232" s="311"/>
      <c r="S232" s="66" t="str">
        <f t="shared" si="64"/>
        <v>LUK</v>
      </c>
      <c r="T232" s="45"/>
      <c r="U232" s="248"/>
      <c r="V232" s="67"/>
      <c r="W232" s="67"/>
    </row>
    <row r="233" spans="1:23" s="68" customFormat="1" ht="49.5" customHeight="1">
      <c r="A233" s="309"/>
      <c r="B233" s="33" t="s">
        <v>382</v>
      </c>
      <c r="C233" s="36">
        <v>127</v>
      </c>
      <c r="D233" s="36">
        <v>5</v>
      </c>
      <c r="E233" s="239">
        <v>144</v>
      </c>
      <c r="F233" s="34" t="s">
        <v>391</v>
      </c>
      <c r="G233" s="34" t="s">
        <v>99</v>
      </c>
      <c r="H233" s="35">
        <v>243.2</v>
      </c>
      <c r="I233" s="34" t="s">
        <v>49</v>
      </c>
      <c r="J233" s="36" t="s">
        <v>50</v>
      </c>
      <c r="K233" s="37">
        <f t="shared" si="61"/>
        <v>144</v>
      </c>
      <c r="L233" s="38">
        <f t="shared" si="63"/>
        <v>99.199999999999989</v>
      </c>
      <c r="M233" s="38"/>
      <c r="N233" s="38"/>
      <c r="O233" s="38"/>
      <c r="P233" s="38"/>
      <c r="Q233" s="39">
        <f t="shared" si="66"/>
        <v>243.2</v>
      </c>
      <c r="R233" s="312"/>
      <c r="S233" s="66" t="str">
        <f t="shared" si="64"/>
        <v>LUK</v>
      </c>
      <c r="T233" s="45"/>
      <c r="U233" s="248"/>
      <c r="V233" s="67"/>
      <c r="W233" s="67"/>
    </row>
    <row r="234" spans="1:23" s="68" customFormat="1" ht="49.5" customHeight="1">
      <c r="A234" s="307">
        <v>78</v>
      </c>
      <c r="B234" s="33" t="s">
        <v>392</v>
      </c>
      <c r="C234" s="72">
        <v>115</v>
      </c>
      <c r="D234" s="72">
        <v>5</v>
      </c>
      <c r="E234" s="73">
        <v>168</v>
      </c>
      <c r="F234" s="34" t="s">
        <v>393</v>
      </c>
      <c r="G234" s="34" t="s">
        <v>159</v>
      </c>
      <c r="H234" s="35">
        <v>83.8</v>
      </c>
      <c r="I234" s="34" t="s">
        <v>49</v>
      </c>
      <c r="J234" s="36" t="s">
        <v>394</v>
      </c>
      <c r="K234" s="37">
        <v>83.8</v>
      </c>
      <c r="L234" s="38"/>
      <c r="M234" s="38"/>
      <c r="N234" s="38"/>
      <c r="O234" s="38"/>
      <c r="P234" s="38"/>
      <c r="Q234" s="39">
        <f t="shared" si="66"/>
        <v>83.8</v>
      </c>
      <c r="R234" s="310">
        <f>SUM(Q234:Q240)</f>
        <v>1609.1</v>
      </c>
      <c r="S234" s="66" t="str">
        <f t="shared" si="64"/>
        <v>LUK</v>
      </c>
      <c r="T234" s="45"/>
      <c r="U234" s="248"/>
      <c r="V234" s="67"/>
      <c r="W234" s="67"/>
    </row>
    <row r="235" spans="1:23" s="68" customFormat="1" ht="49.5" customHeight="1">
      <c r="A235" s="308"/>
      <c r="B235" s="33" t="s">
        <v>392</v>
      </c>
      <c r="C235" s="77"/>
      <c r="D235" s="77"/>
      <c r="E235" s="78"/>
      <c r="F235" s="34">
        <v>137</v>
      </c>
      <c r="G235" s="34">
        <v>28</v>
      </c>
      <c r="H235" s="35">
        <v>576.1</v>
      </c>
      <c r="I235" s="34" t="s">
        <v>49</v>
      </c>
      <c r="J235" s="36" t="s">
        <v>394</v>
      </c>
      <c r="K235" s="37">
        <f>168-83.8</f>
        <v>84.2</v>
      </c>
      <c r="L235" s="38">
        <f>260-84.2</f>
        <v>175.8</v>
      </c>
      <c r="M235" s="38"/>
      <c r="N235" s="38"/>
      <c r="O235" s="38"/>
      <c r="P235" s="38"/>
      <c r="Q235" s="39">
        <f t="shared" si="66"/>
        <v>260</v>
      </c>
      <c r="R235" s="311"/>
      <c r="S235" s="66" t="str">
        <f t="shared" si="64"/>
        <v>LUK</v>
      </c>
      <c r="T235" s="45"/>
      <c r="U235" s="248"/>
      <c r="V235" s="67"/>
      <c r="W235" s="67"/>
    </row>
    <row r="236" spans="1:23" s="68" customFormat="1" ht="49.5" customHeight="1">
      <c r="A236" s="308"/>
      <c r="B236" s="33" t="s">
        <v>392</v>
      </c>
      <c r="C236" s="36">
        <v>99</v>
      </c>
      <c r="D236" s="36">
        <v>4</v>
      </c>
      <c r="E236" s="239">
        <v>360</v>
      </c>
      <c r="F236" s="34" t="s">
        <v>397</v>
      </c>
      <c r="G236" s="34" t="s">
        <v>99</v>
      </c>
      <c r="H236" s="35">
        <v>449.7</v>
      </c>
      <c r="I236" s="34" t="s">
        <v>45</v>
      </c>
      <c r="J236" s="36" t="s">
        <v>60</v>
      </c>
      <c r="K236" s="37">
        <f t="shared" ref="K236" si="67">E236</f>
        <v>360</v>
      </c>
      <c r="L236" s="38">
        <f>H236-K236</f>
        <v>89.699999999999989</v>
      </c>
      <c r="M236" s="38"/>
      <c r="N236" s="38"/>
      <c r="O236" s="38"/>
      <c r="P236" s="38"/>
      <c r="Q236" s="39">
        <f t="shared" si="66"/>
        <v>449.7</v>
      </c>
      <c r="R236" s="311"/>
      <c r="S236" s="66" t="str">
        <f t="shared" si="64"/>
        <v>LUC</v>
      </c>
      <c r="T236" s="45"/>
      <c r="U236" s="248"/>
      <c r="V236" s="67"/>
      <c r="W236" s="67"/>
    </row>
    <row r="237" spans="1:23" s="68" customFormat="1" ht="49.5" customHeight="1">
      <c r="A237" s="308"/>
      <c r="B237" s="33" t="s">
        <v>392</v>
      </c>
      <c r="C237" s="36">
        <v>9</v>
      </c>
      <c r="D237" s="36">
        <v>4</v>
      </c>
      <c r="E237" s="239">
        <v>360</v>
      </c>
      <c r="F237" s="34" t="s">
        <v>398</v>
      </c>
      <c r="G237" s="34" t="s">
        <v>96</v>
      </c>
      <c r="H237" s="35">
        <v>401.3</v>
      </c>
      <c r="I237" s="34" t="s">
        <v>45</v>
      </c>
      <c r="J237" s="36" t="s">
        <v>399</v>
      </c>
      <c r="K237" s="37">
        <f t="shared" si="61"/>
        <v>360</v>
      </c>
      <c r="L237" s="38">
        <f>H237-K237</f>
        <v>41.300000000000011</v>
      </c>
      <c r="M237" s="38"/>
      <c r="N237" s="38"/>
      <c r="O237" s="38"/>
      <c r="P237" s="38"/>
      <c r="Q237" s="39">
        <f t="shared" si="66"/>
        <v>401.3</v>
      </c>
      <c r="R237" s="311"/>
      <c r="S237" s="66" t="str">
        <f t="shared" si="64"/>
        <v>LUC</v>
      </c>
      <c r="T237" s="45"/>
      <c r="U237" s="248"/>
      <c r="V237" s="67"/>
      <c r="W237" s="67"/>
    </row>
    <row r="238" spans="1:23" s="68" customFormat="1" ht="49.5" customHeight="1">
      <c r="A238" s="308"/>
      <c r="B238" s="33" t="s">
        <v>392</v>
      </c>
      <c r="C238" s="36">
        <v>115</v>
      </c>
      <c r="D238" s="36">
        <v>4</v>
      </c>
      <c r="E238" s="239">
        <v>120</v>
      </c>
      <c r="F238" s="34" t="s">
        <v>400</v>
      </c>
      <c r="G238" s="34" t="s">
        <v>99</v>
      </c>
      <c r="H238" s="35">
        <v>132.69999999999999</v>
      </c>
      <c r="I238" s="34" t="s">
        <v>49</v>
      </c>
      <c r="J238" s="36" t="s">
        <v>198</v>
      </c>
      <c r="K238" s="37">
        <f t="shared" si="61"/>
        <v>120</v>
      </c>
      <c r="L238" s="38">
        <f>H238-K238</f>
        <v>12.699999999999989</v>
      </c>
      <c r="M238" s="38"/>
      <c r="N238" s="38"/>
      <c r="O238" s="38"/>
      <c r="P238" s="38"/>
      <c r="Q238" s="39">
        <f t="shared" si="66"/>
        <v>132.69999999999999</v>
      </c>
      <c r="R238" s="311"/>
      <c r="S238" s="66" t="str">
        <f t="shared" si="64"/>
        <v>LUK</v>
      </c>
      <c r="T238" s="45"/>
      <c r="U238" s="248"/>
      <c r="V238" s="67"/>
      <c r="W238" s="67"/>
    </row>
    <row r="239" spans="1:23" s="68" customFormat="1" ht="49.5" customHeight="1">
      <c r="A239" s="308"/>
      <c r="B239" s="33" t="s">
        <v>392</v>
      </c>
      <c r="C239" s="36">
        <v>123</v>
      </c>
      <c r="D239" s="36">
        <v>5</v>
      </c>
      <c r="E239" s="239">
        <v>192</v>
      </c>
      <c r="F239" s="34" t="s">
        <v>402</v>
      </c>
      <c r="G239" s="34" t="s">
        <v>99</v>
      </c>
      <c r="H239" s="35">
        <v>190.5</v>
      </c>
      <c r="I239" s="34" t="s">
        <v>49</v>
      </c>
      <c r="J239" s="36" t="s">
        <v>50</v>
      </c>
      <c r="K239" s="37">
        <v>190.5</v>
      </c>
      <c r="L239" s="38">
        <f>H239-K239</f>
        <v>0</v>
      </c>
      <c r="M239" s="38"/>
      <c r="N239" s="38"/>
      <c r="O239" s="38"/>
      <c r="P239" s="38"/>
      <c r="Q239" s="39">
        <f t="shared" si="66"/>
        <v>190.5</v>
      </c>
      <c r="R239" s="311"/>
      <c r="S239" s="66" t="str">
        <f t="shared" si="64"/>
        <v>LUK</v>
      </c>
      <c r="T239" s="45"/>
      <c r="U239" s="248"/>
      <c r="V239" s="67"/>
      <c r="W239" s="67"/>
    </row>
    <row r="240" spans="1:23" s="68" customFormat="1" ht="49.5" customHeight="1">
      <c r="A240" s="308"/>
      <c r="B240" s="33" t="s">
        <v>392</v>
      </c>
      <c r="C240" s="36"/>
      <c r="D240" s="36"/>
      <c r="E240" s="239"/>
      <c r="F240" s="34">
        <v>443</v>
      </c>
      <c r="G240" s="34" t="s">
        <v>99</v>
      </c>
      <c r="H240" s="35">
        <v>91.1</v>
      </c>
      <c r="I240" s="34" t="s">
        <v>49</v>
      </c>
      <c r="J240" s="36" t="s">
        <v>57</v>
      </c>
      <c r="K240" s="37"/>
      <c r="L240" s="38">
        <v>91.1</v>
      </c>
      <c r="M240" s="38"/>
      <c r="N240" s="38"/>
      <c r="O240" s="38"/>
      <c r="P240" s="38"/>
      <c r="Q240" s="39">
        <f t="shared" si="66"/>
        <v>91.1</v>
      </c>
      <c r="R240" s="311"/>
      <c r="S240" s="66" t="str">
        <f t="shared" si="64"/>
        <v>LUK</v>
      </c>
      <c r="T240" s="45"/>
      <c r="U240" s="248"/>
      <c r="V240" s="67"/>
      <c r="W240" s="67"/>
    </row>
    <row r="241" spans="1:23" s="47" customFormat="1" ht="66.75" customHeight="1">
      <c r="A241" s="32">
        <v>79</v>
      </c>
      <c r="B241" s="33" t="s">
        <v>404</v>
      </c>
      <c r="C241" s="36">
        <v>96</v>
      </c>
      <c r="D241" s="36">
        <v>4</v>
      </c>
      <c r="E241" s="239">
        <v>131</v>
      </c>
      <c r="F241" s="48">
        <v>71</v>
      </c>
      <c r="G241" s="48">
        <v>28</v>
      </c>
      <c r="H241" s="71">
        <v>348.4</v>
      </c>
      <c r="I241" s="34" t="s">
        <v>55</v>
      </c>
      <c r="J241" s="36" t="s">
        <v>46</v>
      </c>
      <c r="K241" s="37">
        <v>131</v>
      </c>
      <c r="L241" s="38">
        <v>43.2</v>
      </c>
      <c r="M241" s="38"/>
      <c r="N241" s="38"/>
      <c r="O241" s="38"/>
      <c r="P241" s="38"/>
      <c r="Q241" s="39">
        <f t="shared" si="66"/>
        <v>174.2</v>
      </c>
      <c r="R241" s="94">
        <f>Q241</f>
        <v>174.2</v>
      </c>
      <c r="S241" s="66" t="str">
        <f t="shared" si="64"/>
        <v>BHK</v>
      </c>
      <c r="T241" s="45"/>
      <c r="U241" s="247"/>
      <c r="V241" s="46"/>
      <c r="W241" s="46"/>
    </row>
    <row r="242" spans="1:23" s="68" customFormat="1" ht="49.5" customHeight="1">
      <c r="A242" s="307">
        <v>80</v>
      </c>
      <c r="B242" s="33" t="s">
        <v>407</v>
      </c>
      <c r="C242" s="36">
        <v>78</v>
      </c>
      <c r="D242" s="36">
        <v>4</v>
      </c>
      <c r="E242" s="239">
        <v>72</v>
      </c>
      <c r="F242" s="34">
        <v>61</v>
      </c>
      <c r="G242" s="34">
        <v>28</v>
      </c>
      <c r="H242" s="35">
        <v>87.8</v>
      </c>
      <c r="I242" s="34" t="s">
        <v>55</v>
      </c>
      <c r="J242" s="36" t="s">
        <v>408</v>
      </c>
      <c r="K242" s="37">
        <f t="shared" si="61"/>
        <v>72</v>
      </c>
      <c r="L242" s="38">
        <f t="shared" ref="L242:L247" si="68">H242-K242</f>
        <v>15.799999999999997</v>
      </c>
      <c r="M242" s="38"/>
      <c r="N242" s="38"/>
      <c r="O242" s="38"/>
      <c r="P242" s="38"/>
      <c r="Q242" s="39">
        <f t="shared" si="66"/>
        <v>87.8</v>
      </c>
      <c r="R242" s="310">
        <f>SUM(Q242:Q247)</f>
        <v>1393.1</v>
      </c>
      <c r="S242" s="66" t="str">
        <f t="shared" si="64"/>
        <v>BHK</v>
      </c>
      <c r="T242" s="45"/>
      <c r="U242" s="248"/>
      <c r="V242" s="67"/>
      <c r="W242" s="67"/>
    </row>
    <row r="243" spans="1:23" s="68" customFormat="1" ht="49.5" customHeight="1">
      <c r="A243" s="308"/>
      <c r="B243" s="33" t="s">
        <v>407</v>
      </c>
      <c r="C243" s="36">
        <v>83</v>
      </c>
      <c r="D243" s="36">
        <v>4</v>
      </c>
      <c r="E243" s="239">
        <v>672</v>
      </c>
      <c r="F243" s="34">
        <v>197</v>
      </c>
      <c r="G243" s="34">
        <v>28</v>
      </c>
      <c r="H243" s="35">
        <v>900.7</v>
      </c>
      <c r="I243" s="34" t="s">
        <v>45</v>
      </c>
      <c r="J243" s="36" t="s">
        <v>63</v>
      </c>
      <c r="K243" s="37">
        <v>672</v>
      </c>
      <c r="L243" s="38">
        <f>693.2-672</f>
        <v>21.200000000000045</v>
      </c>
      <c r="M243" s="38"/>
      <c r="N243" s="38"/>
      <c r="O243" s="38"/>
      <c r="P243" s="38"/>
      <c r="Q243" s="39">
        <f t="shared" si="66"/>
        <v>693.2</v>
      </c>
      <c r="R243" s="311"/>
      <c r="S243" s="66" t="str">
        <f t="shared" si="64"/>
        <v>LUC</v>
      </c>
      <c r="T243" s="45"/>
      <c r="U243" s="248"/>
      <c r="V243" s="67"/>
      <c r="W243" s="67"/>
    </row>
    <row r="244" spans="1:23" s="68" customFormat="1" ht="49.5" customHeight="1">
      <c r="A244" s="308"/>
      <c r="B244" s="33" t="s">
        <v>407</v>
      </c>
      <c r="C244" s="36">
        <v>106</v>
      </c>
      <c r="D244" s="36">
        <v>5</v>
      </c>
      <c r="E244" s="239">
        <v>96</v>
      </c>
      <c r="F244" s="34">
        <v>287</v>
      </c>
      <c r="G244" s="34">
        <v>28</v>
      </c>
      <c r="H244" s="35">
        <v>133.4</v>
      </c>
      <c r="I244" s="34" t="s">
        <v>49</v>
      </c>
      <c r="J244" s="36" t="s">
        <v>50</v>
      </c>
      <c r="K244" s="37">
        <f t="shared" si="61"/>
        <v>96</v>
      </c>
      <c r="L244" s="38">
        <f t="shared" si="68"/>
        <v>37.400000000000006</v>
      </c>
      <c r="M244" s="38"/>
      <c r="N244" s="38"/>
      <c r="O244" s="38"/>
      <c r="P244" s="38"/>
      <c r="Q244" s="39">
        <f t="shared" si="66"/>
        <v>133.4</v>
      </c>
      <c r="R244" s="311"/>
      <c r="S244" s="66" t="str">
        <f t="shared" si="64"/>
        <v>LUK</v>
      </c>
      <c r="T244" s="45"/>
      <c r="U244" s="248"/>
      <c r="V244" s="67"/>
      <c r="W244" s="67"/>
    </row>
    <row r="245" spans="1:23" s="68" customFormat="1" ht="49.5" customHeight="1">
      <c r="A245" s="308"/>
      <c r="B245" s="33" t="s">
        <v>407</v>
      </c>
      <c r="C245" s="36">
        <v>122</v>
      </c>
      <c r="D245" s="36">
        <v>4</v>
      </c>
      <c r="E245" s="239">
        <v>24</v>
      </c>
      <c r="F245" s="34">
        <v>352</v>
      </c>
      <c r="G245" s="34">
        <v>28</v>
      </c>
      <c r="H245" s="35">
        <v>37.9</v>
      </c>
      <c r="I245" s="34" t="s">
        <v>49</v>
      </c>
      <c r="J245" s="36" t="s">
        <v>410</v>
      </c>
      <c r="K245" s="37">
        <f t="shared" si="61"/>
        <v>24</v>
      </c>
      <c r="L245" s="38">
        <f t="shared" si="68"/>
        <v>13.899999999999999</v>
      </c>
      <c r="M245" s="38"/>
      <c r="N245" s="38"/>
      <c r="O245" s="38"/>
      <c r="P245" s="38"/>
      <c r="Q245" s="39">
        <f t="shared" si="66"/>
        <v>37.9</v>
      </c>
      <c r="R245" s="311"/>
      <c r="S245" s="66" t="str">
        <f t="shared" si="64"/>
        <v>LUK</v>
      </c>
      <c r="T245" s="45"/>
      <c r="U245" s="248"/>
      <c r="V245" s="67"/>
      <c r="W245" s="67"/>
    </row>
    <row r="246" spans="1:23" s="68" customFormat="1" ht="49.5" customHeight="1">
      <c r="A246" s="308"/>
      <c r="B246" s="33" t="s">
        <v>407</v>
      </c>
      <c r="C246" s="36">
        <v>130</v>
      </c>
      <c r="D246" s="36">
        <v>5</v>
      </c>
      <c r="E246" s="239">
        <v>180</v>
      </c>
      <c r="F246" s="34">
        <v>378</v>
      </c>
      <c r="G246" s="34">
        <v>28</v>
      </c>
      <c r="H246" s="35">
        <v>214.5</v>
      </c>
      <c r="I246" s="34" t="s">
        <v>49</v>
      </c>
      <c r="J246" s="36" t="s">
        <v>111</v>
      </c>
      <c r="K246" s="37">
        <f t="shared" si="61"/>
        <v>180</v>
      </c>
      <c r="L246" s="38">
        <f t="shared" si="68"/>
        <v>34.5</v>
      </c>
      <c r="M246" s="38"/>
      <c r="N246" s="38"/>
      <c r="O246" s="38"/>
      <c r="P246" s="38"/>
      <c r="Q246" s="39">
        <f t="shared" si="66"/>
        <v>214.5</v>
      </c>
      <c r="R246" s="311"/>
      <c r="S246" s="66" t="str">
        <f t="shared" si="64"/>
        <v>LUK</v>
      </c>
      <c r="T246" s="45"/>
      <c r="U246" s="248"/>
      <c r="V246" s="67"/>
      <c r="W246" s="67"/>
    </row>
    <row r="247" spans="1:23" s="68" customFormat="1" ht="49.5" customHeight="1">
      <c r="A247" s="308"/>
      <c r="B247" s="33" t="s">
        <v>407</v>
      </c>
      <c r="C247" s="36">
        <v>122</v>
      </c>
      <c r="D247" s="36">
        <v>4</v>
      </c>
      <c r="E247" s="239">
        <v>180</v>
      </c>
      <c r="F247" s="34">
        <v>446</v>
      </c>
      <c r="G247" s="34">
        <v>28</v>
      </c>
      <c r="H247" s="35">
        <v>226.3</v>
      </c>
      <c r="I247" s="34" t="s">
        <v>49</v>
      </c>
      <c r="J247" s="36" t="s">
        <v>111</v>
      </c>
      <c r="K247" s="37">
        <f t="shared" si="61"/>
        <v>180</v>
      </c>
      <c r="L247" s="38">
        <f t="shared" si="68"/>
        <v>46.300000000000011</v>
      </c>
      <c r="M247" s="38"/>
      <c r="N247" s="38"/>
      <c r="O247" s="38"/>
      <c r="P247" s="38"/>
      <c r="Q247" s="39">
        <f t="shared" si="66"/>
        <v>226.3</v>
      </c>
      <c r="R247" s="311"/>
      <c r="S247" s="66" t="str">
        <f t="shared" si="64"/>
        <v>LUK</v>
      </c>
      <c r="T247" s="45"/>
      <c r="U247" s="248"/>
      <c r="V247" s="67"/>
      <c r="W247" s="67"/>
    </row>
    <row r="248" spans="1:23" s="47" customFormat="1" ht="49.5" customHeight="1">
      <c r="A248" s="307">
        <v>81</v>
      </c>
      <c r="B248" s="33" t="s">
        <v>412</v>
      </c>
      <c r="C248" s="322">
        <v>109</v>
      </c>
      <c r="D248" s="322">
        <v>5</v>
      </c>
      <c r="E248" s="325">
        <v>360</v>
      </c>
      <c r="F248" s="34">
        <v>212</v>
      </c>
      <c r="G248" s="34">
        <v>28</v>
      </c>
      <c r="H248" s="35">
        <v>137.30000000000001</v>
      </c>
      <c r="I248" s="34" t="s">
        <v>49</v>
      </c>
      <c r="J248" s="36" t="s">
        <v>50</v>
      </c>
      <c r="K248" s="37">
        <v>137.30000000000001</v>
      </c>
      <c r="L248" s="38">
        <f>H248-K248</f>
        <v>0</v>
      </c>
      <c r="M248" s="38"/>
      <c r="N248" s="38"/>
      <c r="O248" s="38"/>
      <c r="P248" s="38"/>
      <c r="Q248" s="39">
        <f t="shared" si="66"/>
        <v>137.30000000000001</v>
      </c>
      <c r="R248" s="310">
        <f>SUM(Q248:Q251)</f>
        <v>706.5</v>
      </c>
      <c r="S248" s="66" t="str">
        <f t="shared" si="64"/>
        <v>LUK</v>
      </c>
      <c r="T248" s="45"/>
      <c r="U248" s="247"/>
      <c r="V248" s="46"/>
      <c r="W248" s="46"/>
    </row>
    <row r="249" spans="1:23" s="47" customFormat="1" ht="49.5" customHeight="1">
      <c r="A249" s="308"/>
      <c r="B249" s="33" t="s">
        <v>412</v>
      </c>
      <c r="C249" s="323"/>
      <c r="D249" s="323"/>
      <c r="E249" s="326"/>
      <c r="F249" s="95">
        <v>286</v>
      </c>
      <c r="G249" s="95">
        <v>28</v>
      </c>
      <c r="H249" s="96">
        <v>521.70000000000005</v>
      </c>
      <c r="I249" s="34" t="s">
        <v>49</v>
      </c>
      <c r="J249" s="36" t="s">
        <v>50</v>
      </c>
      <c r="K249" s="37">
        <f>360-137.3</f>
        <v>222.7</v>
      </c>
      <c r="L249" s="38">
        <f>23.3</f>
        <v>23.3</v>
      </c>
      <c r="M249" s="38"/>
      <c r="N249" s="38"/>
      <c r="O249" s="38"/>
      <c r="P249" s="38"/>
      <c r="Q249" s="39">
        <f t="shared" si="66"/>
        <v>246</v>
      </c>
      <c r="R249" s="311"/>
      <c r="S249" s="66" t="str">
        <f t="shared" si="64"/>
        <v>LUK</v>
      </c>
      <c r="T249" s="45"/>
      <c r="U249" s="247"/>
      <c r="V249" s="46"/>
      <c r="W249" s="46"/>
    </row>
    <row r="250" spans="1:23" s="47" customFormat="1" ht="49.5" customHeight="1">
      <c r="A250" s="308"/>
      <c r="B250" s="33" t="s">
        <v>412</v>
      </c>
      <c r="C250" s="36">
        <v>147</v>
      </c>
      <c r="D250" s="36">
        <v>4</v>
      </c>
      <c r="E250" s="239">
        <v>84</v>
      </c>
      <c r="F250" s="34">
        <v>358</v>
      </c>
      <c r="G250" s="34">
        <v>28</v>
      </c>
      <c r="H250" s="35">
        <v>154.69999999999999</v>
      </c>
      <c r="I250" s="34" t="s">
        <v>49</v>
      </c>
      <c r="J250" s="36" t="s">
        <v>74</v>
      </c>
      <c r="K250" s="37">
        <f t="shared" ref="K250:K305" si="69">E250</f>
        <v>84</v>
      </c>
      <c r="L250" s="38">
        <f t="shared" ref="L250:L251" si="70">H250-K250</f>
        <v>70.699999999999989</v>
      </c>
      <c r="M250" s="38"/>
      <c r="N250" s="38"/>
      <c r="O250" s="38"/>
      <c r="P250" s="38"/>
      <c r="Q250" s="39">
        <f t="shared" si="66"/>
        <v>154.69999999999999</v>
      </c>
      <c r="R250" s="311"/>
      <c r="S250" s="66" t="str">
        <f t="shared" si="64"/>
        <v>LUK</v>
      </c>
      <c r="T250" s="45"/>
      <c r="U250" s="247"/>
      <c r="V250" s="46"/>
      <c r="W250" s="46"/>
    </row>
    <row r="251" spans="1:23" s="47" customFormat="1" ht="49.5" customHeight="1">
      <c r="A251" s="308"/>
      <c r="B251" s="33" t="s">
        <v>412</v>
      </c>
      <c r="C251" s="36">
        <v>164</v>
      </c>
      <c r="D251" s="36">
        <v>4</v>
      </c>
      <c r="E251" s="239">
        <v>168</v>
      </c>
      <c r="F251" s="34">
        <v>359</v>
      </c>
      <c r="G251" s="34">
        <v>28</v>
      </c>
      <c r="H251" s="35">
        <v>168.5</v>
      </c>
      <c r="I251" s="34" t="s">
        <v>49</v>
      </c>
      <c r="J251" s="36" t="s">
        <v>417</v>
      </c>
      <c r="K251" s="37">
        <f t="shared" si="69"/>
        <v>168</v>
      </c>
      <c r="L251" s="38">
        <f t="shared" si="70"/>
        <v>0.5</v>
      </c>
      <c r="M251" s="38"/>
      <c r="N251" s="38"/>
      <c r="O251" s="38"/>
      <c r="P251" s="38"/>
      <c r="Q251" s="39">
        <f t="shared" si="66"/>
        <v>168.5</v>
      </c>
      <c r="R251" s="311"/>
      <c r="S251" s="66" t="str">
        <f t="shared" si="64"/>
        <v>LUK</v>
      </c>
      <c r="T251" s="45"/>
      <c r="U251" s="247"/>
      <c r="V251" s="46"/>
      <c r="W251" s="46"/>
    </row>
    <row r="252" spans="1:23" s="68" customFormat="1" ht="49.5" customHeight="1">
      <c r="A252" s="307">
        <v>82</v>
      </c>
      <c r="B252" s="33" t="s">
        <v>419</v>
      </c>
      <c r="C252" s="36">
        <v>42</v>
      </c>
      <c r="D252" s="36">
        <v>4</v>
      </c>
      <c r="E252" s="239">
        <v>72</v>
      </c>
      <c r="F252" s="34">
        <v>173</v>
      </c>
      <c r="G252" s="34">
        <v>21</v>
      </c>
      <c r="H252" s="35">
        <v>82.5</v>
      </c>
      <c r="I252" s="97" t="s">
        <v>45</v>
      </c>
      <c r="J252" s="36" t="s">
        <v>260</v>
      </c>
      <c r="K252" s="37">
        <v>15.3</v>
      </c>
      <c r="L252" s="38"/>
      <c r="M252" s="38"/>
      <c r="N252" s="38"/>
      <c r="O252" s="38">
        <f>82.5-15.3</f>
        <v>67.2</v>
      </c>
      <c r="P252" s="38"/>
      <c r="Q252" s="39">
        <f t="shared" si="66"/>
        <v>82.5</v>
      </c>
      <c r="R252" s="310">
        <f>SUM(Q252:Q261)</f>
        <v>1242.5</v>
      </c>
      <c r="S252" s="66" t="str">
        <f t="shared" si="64"/>
        <v>LUC</v>
      </c>
      <c r="T252" s="45"/>
      <c r="U252" s="248"/>
      <c r="V252" s="67"/>
      <c r="W252" s="67"/>
    </row>
    <row r="253" spans="1:23" s="68" customFormat="1" ht="49.5" customHeight="1">
      <c r="A253" s="308"/>
      <c r="B253" s="33" t="s">
        <v>419</v>
      </c>
      <c r="C253" s="36">
        <v>7</v>
      </c>
      <c r="D253" s="36">
        <v>4</v>
      </c>
      <c r="E253" s="239">
        <v>216</v>
      </c>
      <c r="F253" s="34">
        <v>249</v>
      </c>
      <c r="G253" s="34">
        <v>21</v>
      </c>
      <c r="H253" s="35">
        <v>246.3</v>
      </c>
      <c r="I253" s="97" t="s">
        <v>45</v>
      </c>
      <c r="J253" s="36" t="s">
        <v>54</v>
      </c>
      <c r="K253" s="37">
        <f t="shared" ref="K253:K254" si="71">E253</f>
        <v>216</v>
      </c>
      <c r="L253" s="38">
        <f t="shared" ref="L253:L288" si="72">H253-K253</f>
        <v>30.300000000000011</v>
      </c>
      <c r="M253" s="38"/>
      <c r="N253" s="38"/>
      <c r="O253" s="38"/>
      <c r="P253" s="38"/>
      <c r="Q253" s="39">
        <f t="shared" si="66"/>
        <v>246.3</v>
      </c>
      <c r="R253" s="311"/>
      <c r="S253" s="66" t="str">
        <f t="shared" si="64"/>
        <v>LUC</v>
      </c>
      <c r="T253" s="45"/>
      <c r="U253" s="248"/>
      <c r="V253" s="67"/>
      <c r="W253" s="67"/>
    </row>
    <row r="254" spans="1:23" s="68" customFormat="1" ht="49.5" customHeight="1">
      <c r="A254" s="308"/>
      <c r="B254" s="33" t="s">
        <v>419</v>
      </c>
      <c r="C254" s="36">
        <v>110</v>
      </c>
      <c r="D254" s="36">
        <v>5</v>
      </c>
      <c r="E254" s="239">
        <v>120</v>
      </c>
      <c r="F254" s="34">
        <v>86</v>
      </c>
      <c r="G254" s="34">
        <v>28</v>
      </c>
      <c r="H254" s="35">
        <v>147.6</v>
      </c>
      <c r="I254" s="97" t="s">
        <v>49</v>
      </c>
      <c r="J254" s="36" t="s">
        <v>242</v>
      </c>
      <c r="K254" s="37">
        <f t="shared" si="71"/>
        <v>120</v>
      </c>
      <c r="L254" s="38">
        <f t="shared" si="72"/>
        <v>27.599999999999994</v>
      </c>
      <c r="M254" s="38"/>
      <c r="N254" s="38"/>
      <c r="O254" s="38"/>
      <c r="P254" s="38"/>
      <c r="Q254" s="39">
        <f t="shared" si="66"/>
        <v>147.6</v>
      </c>
      <c r="R254" s="311"/>
      <c r="S254" s="66" t="str">
        <f t="shared" si="64"/>
        <v>LUK</v>
      </c>
      <c r="T254" s="45"/>
      <c r="U254" s="248"/>
      <c r="V254" s="67"/>
      <c r="W254" s="67"/>
    </row>
    <row r="255" spans="1:23" s="68" customFormat="1" ht="49.5" customHeight="1">
      <c r="A255" s="308"/>
      <c r="B255" s="33" t="s">
        <v>419</v>
      </c>
      <c r="C255" s="322">
        <v>105</v>
      </c>
      <c r="D255" s="322">
        <v>4</v>
      </c>
      <c r="E255" s="325">
        <v>216</v>
      </c>
      <c r="F255" s="34">
        <v>148</v>
      </c>
      <c r="G255" s="34">
        <v>28</v>
      </c>
      <c r="H255" s="35">
        <v>198.1</v>
      </c>
      <c r="I255" s="97" t="s">
        <v>45</v>
      </c>
      <c r="J255" s="36" t="s">
        <v>63</v>
      </c>
      <c r="K255" s="37">
        <v>198.1</v>
      </c>
      <c r="L255" s="38">
        <f t="shared" si="72"/>
        <v>0</v>
      </c>
      <c r="M255" s="38"/>
      <c r="N255" s="38"/>
      <c r="O255" s="38"/>
      <c r="P255" s="38"/>
      <c r="Q255" s="39">
        <f t="shared" si="66"/>
        <v>198.1</v>
      </c>
      <c r="R255" s="311"/>
      <c r="S255" s="66" t="str">
        <f t="shared" si="64"/>
        <v>LUC</v>
      </c>
      <c r="T255" s="45"/>
      <c r="U255" s="248"/>
      <c r="V255" s="67"/>
      <c r="W255" s="67"/>
    </row>
    <row r="256" spans="1:23" s="68" customFormat="1" ht="49.5" customHeight="1">
      <c r="A256" s="308"/>
      <c r="B256" s="33" t="s">
        <v>419</v>
      </c>
      <c r="C256" s="323"/>
      <c r="D256" s="323"/>
      <c r="E256" s="326"/>
      <c r="F256" s="34">
        <v>145</v>
      </c>
      <c r="G256" s="34">
        <v>28</v>
      </c>
      <c r="H256" s="35">
        <v>555.79999999999995</v>
      </c>
      <c r="I256" s="97" t="s">
        <v>45</v>
      </c>
      <c r="J256" s="36" t="s">
        <v>63</v>
      </c>
      <c r="K256" s="37">
        <v>2.2999999999999998</v>
      </c>
      <c r="L256" s="38"/>
      <c r="M256" s="38"/>
      <c r="N256" s="38"/>
      <c r="O256" s="38"/>
      <c r="P256" s="38"/>
      <c r="Q256" s="39">
        <f t="shared" si="66"/>
        <v>2.2999999999999998</v>
      </c>
      <c r="R256" s="311"/>
      <c r="S256" s="66" t="str">
        <f t="shared" si="64"/>
        <v>LUC</v>
      </c>
      <c r="T256" s="45"/>
      <c r="U256" s="248"/>
      <c r="V256" s="67"/>
      <c r="W256" s="67"/>
    </row>
    <row r="257" spans="1:23" s="68" customFormat="1" ht="49.5" customHeight="1">
      <c r="A257" s="308"/>
      <c r="B257" s="33" t="s">
        <v>419</v>
      </c>
      <c r="C257" s="324"/>
      <c r="D257" s="324"/>
      <c r="E257" s="327"/>
      <c r="F257" s="34">
        <v>221</v>
      </c>
      <c r="G257" s="34">
        <v>28</v>
      </c>
      <c r="H257" s="35">
        <v>259.7</v>
      </c>
      <c r="I257" s="97" t="s">
        <v>45</v>
      </c>
      <c r="J257" s="36" t="s">
        <v>63</v>
      </c>
      <c r="K257" s="37">
        <v>15.6</v>
      </c>
      <c r="L257" s="38"/>
      <c r="M257" s="38"/>
      <c r="N257" s="38"/>
      <c r="O257" s="38"/>
      <c r="P257" s="38"/>
      <c r="Q257" s="39">
        <f t="shared" si="66"/>
        <v>15.6</v>
      </c>
      <c r="R257" s="311"/>
      <c r="S257" s="66" t="str">
        <f t="shared" si="64"/>
        <v>LUC</v>
      </c>
      <c r="T257" s="45"/>
      <c r="U257" s="248"/>
      <c r="V257" s="67"/>
      <c r="W257" s="67"/>
    </row>
    <row r="258" spans="1:23" s="68" customFormat="1" ht="49.5" customHeight="1">
      <c r="A258" s="308"/>
      <c r="B258" s="33" t="s">
        <v>419</v>
      </c>
      <c r="C258" s="36"/>
      <c r="D258" s="36"/>
      <c r="E258" s="239"/>
      <c r="F258" s="34">
        <v>208</v>
      </c>
      <c r="G258" s="34">
        <v>28</v>
      </c>
      <c r="H258" s="35">
        <v>75.099999999999994</v>
      </c>
      <c r="I258" s="97" t="s">
        <v>49</v>
      </c>
      <c r="J258" s="36" t="s">
        <v>242</v>
      </c>
      <c r="K258" s="37"/>
      <c r="L258" s="38"/>
      <c r="M258" s="38">
        <v>75.099999999999994</v>
      </c>
      <c r="N258" s="38"/>
      <c r="O258" s="38"/>
      <c r="P258" s="38"/>
      <c r="Q258" s="39">
        <f t="shared" si="66"/>
        <v>75.099999999999994</v>
      </c>
      <c r="R258" s="311"/>
      <c r="S258" s="66" t="s">
        <v>553</v>
      </c>
      <c r="T258" s="45"/>
      <c r="U258" s="248"/>
      <c r="V258" s="67"/>
      <c r="W258" s="67"/>
    </row>
    <row r="259" spans="1:23" s="68" customFormat="1" ht="49.5" customHeight="1">
      <c r="A259" s="308"/>
      <c r="B259" s="33" t="s">
        <v>419</v>
      </c>
      <c r="C259" s="36"/>
      <c r="D259" s="36"/>
      <c r="E259" s="239"/>
      <c r="F259" s="34">
        <v>210</v>
      </c>
      <c r="G259" s="34">
        <v>28</v>
      </c>
      <c r="H259" s="35">
        <v>132.19999999999999</v>
      </c>
      <c r="I259" s="97" t="s">
        <v>49</v>
      </c>
      <c r="J259" s="36" t="s">
        <v>242</v>
      </c>
      <c r="K259" s="37"/>
      <c r="L259" s="38"/>
      <c r="M259" s="38">
        <v>132.19999999999999</v>
      </c>
      <c r="N259" s="38"/>
      <c r="O259" s="38"/>
      <c r="P259" s="38"/>
      <c r="Q259" s="39">
        <f t="shared" si="66"/>
        <v>132.19999999999999</v>
      </c>
      <c r="R259" s="311"/>
      <c r="S259" s="66" t="s">
        <v>553</v>
      </c>
      <c r="T259" s="45"/>
      <c r="U259" s="248"/>
      <c r="V259" s="67"/>
      <c r="W259" s="67"/>
    </row>
    <row r="260" spans="1:23" s="68" customFormat="1" ht="49.5" customHeight="1">
      <c r="A260" s="308"/>
      <c r="B260" s="33" t="s">
        <v>419</v>
      </c>
      <c r="C260" s="36"/>
      <c r="D260" s="36"/>
      <c r="E260" s="239"/>
      <c r="F260" s="34">
        <v>275</v>
      </c>
      <c r="G260" s="34">
        <v>28</v>
      </c>
      <c r="H260" s="35">
        <v>206.2</v>
      </c>
      <c r="I260" s="97" t="s">
        <v>45</v>
      </c>
      <c r="J260" s="36" t="s">
        <v>410</v>
      </c>
      <c r="K260" s="37"/>
      <c r="L260" s="38">
        <f t="shared" si="72"/>
        <v>206.2</v>
      </c>
      <c r="M260" s="38"/>
      <c r="N260" s="38"/>
      <c r="O260" s="38"/>
      <c r="P260" s="38"/>
      <c r="Q260" s="39">
        <f t="shared" si="66"/>
        <v>206.2</v>
      </c>
      <c r="R260" s="311"/>
      <c r="S260" s="66" t="str">
        <f t="shared" ref="S260:S273" si="73">I260</f>
        <v>LUC</v>
      </c>
      <c r="T260" s="45"/>
      <c r="U260" s="248"/>
      <c r="V260" s="67"/>
      <c r="W260" s="67"/>
    </row>
    <row r="261" spans="1:23" s="68" customFormat="1" ht="49.5" customHeight="1">
      <c r="A261" s="308"/>
      <c r="B261" s="33" t="s">
        <v>419</v>
      </c>
      <c r="C261" s="36">
        <v>187</v>
      </c>
      <c r="D261" s="36">
        <v>5</v>
      </c>
      <c r="E261" s="239">
        <v>108</v>
      </c>
      <c r="F261" s="34">
        <v>367</v>
      </c>
      <c r="G261" s="34">
        <v>28</v>
      </c>
      <c r="H261" s="35">
        <v>136.6</v>
      </c>
      <c r="I261" s="97" t="s">
        <v>49</v>
      </c>
      <c r="J261" s="36" t="s">
        <v>410</v>
      </c>
      <c r="K261" s="37">
        <f t="shared" si="69"/>
        <v>108</v>
      </c>
      <c r="L261" s="38">
        <f t="shared" si="72"/>
        <v>28.599999999999994</v>
      </c>
      <c r="M261" s="38"/>
      <c r="N261" s="38"/>
      <c r="O261" s="38"/>
      <c r="P261" s="38"/>
      <c r="Q261" s="39">
        <f t="shared" si="66"/>
        <v>136.6</v>
      </c>
      <c r="R261" s="311"/>
      <c r="S261" s="66" t="str">
        <f t="shared" si="73"/>
        <v>LUK</v>
      </c>
      <c r="T261" s="45"/>
      <c r="U261" s="248"/>
      <c r="V261" s="67"/>
      <c r="W261" s="67"/>
    </row>
    <row r="262" spans="1:23" s="68" customFormat="1" ht="49.5" customHeight="1">
      <c r="A262" s="307">
        <v>83</v>
      </c>
      <c r="B262" s="33" t="s">
        <v>420</v>
      </c>
      <c r="C262" s="72">
        <v>105</v>
      </c>
      <c r="D262" s="72">
        <v>4</v>
      </c>
      <c r="E262" s="73">
        <v>216</v>
      </c>
      <c r="F262" s="34">
        <v>147</v>
      </c>
      <c r="G262" s="34">
        <v>28</v>
      </c>
      <c r="H262" s="35">
        <v>178.8</v>
      </c>
      <c r="I262" s="34" t="s">
        <v>45</v>
      </c>
      <c r="J262" s="36" t="s">
        <v>46</v>
      </c>
      <c r="K262" s="37">
        <v>178.8</v>
      </c>
      <c r="L262" s="38">
        <f t="shared" ref="L262" si="74">H262-K262</f>
        <v>0</v>
      </c>
      <c r="M262" s="38"/>
      <c r="N262" s="38"/>
      <c r="O262" s="38"/>
      <c r="P262" s="38"/>
      <c r="Q262" s="39">
        <f t="shared" ref="Q262:Q301" si="75">K262+L262+N262+O262+M262</f>
        <v>178.8</v>
      </c>
      <c r="R262" s="310">
        <f>SUM(Q262:Q267)</f>
        <v>1182.3</v>
      </c>
      <c r="S262" s="66" t="str">
        <f t="shared" si="73"/>
        <v>LUC</v>
      </c>
      <c r="T262" s="45"/>
      <c r="U262" s="248"/>
      <c r="V262" s="67"/>
      <c r="W262" s="67"/>
    </row>
    <row r="263" spans="1:23" s="68" customFormat="1" ht="49.5" customHeight="1">
      <c r="A263" s="308"/>
      <c r="B263" s="33" t="s">
        <v>420</v>
      </c>
      <c r="C263" s="72"/>
      <c r="D263" s="72"/>
      <c r="E263" s="73"/>
      <c r="F263" s="34">
        <v>145</v>
      </c>
      <c r="G263" s="34">
        <v>28</v>
      </c>
      <c r="H263" s="35">
        <v>555.79999999999995</v>
      </c>
      <c r="I263" s="34" t="s">
        <v>45</v>
      </c>
      <c r="J263" s="36" t="s">
        <v>46</v>
      </c>
      <c r="K263" s="37">
        <v>37.200000000000003</v>
      </c>
      <c r="L263" s="38"/>
      <c r="M263" s="38"/>
      <c r="N263" s="38"/>
      <c r="O263" s="38"/>
      <c r="P263" s="38"/>
      <c r="Q263" s="39">
        <f t="shared" si="75"/>
        <v>37.200000000000003</v>
      </c>
      <c r="R263" s="311"/>
      <c r="S263" s="66" t="str">
        <f t="shared" si="73"/>
        <v>LUC</v>
      </c>
      <c r="T263" s="45"/>
      <c r="U263" s="248"/>
      <c r="V263" s="67"/>
      <c r="W263" s="67"/>
    </row>
    <row r="264" spans="1:23" s="68" customFormat="1" ht="49.5" customHeight="1">
      <c r="A264" s="308"/>
      <c r="B264" s="33" t="s">
        <v>420</v>
      </c>
      <c r="C264" s="36"/>
      <c r="D264" s="36"/>
      <c r="E264" s="239"/>
      <c r="F264" s="34">
        <v>250</v>
      </c>
      <c r="G264" s="34">
        <v>21</v>
      </c>
      <c r="H264" s="35">
        <v>274.7</v>
      </c>
      <c r="I264" s="34" t="s">
        <v>45</v>
      </c>
      <c r="J264" s="36" t="s">
        <v>227</v>
      </c>
      <c r="K264" s="37"/>
      <c r="L264" s="38">
        <f t="shared" si="72"/>
        <v>274.7</v>
      </c>
      <c r="M264" s="38"/>
      <c r="N264" s="38"/>
      <c r="O264" s="38"/>
      <c r="P264" s="38"/>
      <c r="Q264" s="39">
        <f t="shared" si="75"/>
        <v>274.7</v>
      </c>
      <c r="R264" s="311"/>
      <c r="S264" s="66" t="str">
        <f t="shared" si="73"/>
        <v>LUC</v>
      </c>
      <c r="T264" s="45"/>
      <c r="U264" s="248"/>
      <c r="V264" s="67"/>
      <c r="W264" s="67"/>
    </row>
    <row r="265" spans="1:23" s="68" customFormat="1" ht="49.5" customHeight="1">
      <c r="A265" s="308"/>
      <c r="B265" s="33" t="s">
        <v>420</v>
      </c>
      <c r="C265" s="36">
        <v>54</v>
      </c>
      <c r="D265" s="36">
        <v>4</v>
      </c>
      <c r="E265" s="239">
        <v>540</v>
      </c>
      <c r="F265" s="34">
        <v>17</v>
      </c>
      <c r="G265" s="34">
        <v>28</v>
      </c>
      <c r="H265" s="35">
        <v>594.79999999999995</v>
      </c>
      <c r="I265" s="34" t="s">
        <v>45</v>
      </c>
      <c r="J265" s="36" t="s">
        <v>54</v>
      </c>
      <c r="K265" s="37">
        <f t="shared" ref="K265" si="76">E265</f>
        <v>540</v>
      </c>
      <c r="L265" s="38">
        <f t="shared" si="72"/>
        <v>54.799999999999955</v>
      </c>
      <c r="M265" s="38"/>
      <c r="N265" s="38"/>
      <c r="O265" s="38"/>
      <c r="P265" s="38"/>
      <c r="Q265" s="39">
        <f t="shared" si="75"/>
        <v>594.79999999999995</v>
      </c>
      <c r="R265" s="311"/>
      <c r="S265" s="66" t="str">
        <f t="shared" si="73"/>
        <v>LUC</v>
      </c>
      <c r="T265" s="45"/>
      <c r="U265" s="248"/>
      <c r="V265" s="67"/>
      <c r="W265" s="67"/>
    </row>
    <row r="266" spans="1:23" s="68" customFormat="1" ht="49.5" customHeight="1">
      <c r="A266" s="308"/>
      <c r="B266" s="33" t="s">
        <v>420</v>
      </c>
      <c r="C266" s="36"/>
      <c r="D266" s="36"/>
      <c r="E266" s="239"/>
      <c r="F266" s="34">
        <v>17</v>
      </c>
      <c r="G266" s="34">
        <v>28</v>
      </c>
      <c r="H266" s="35">
        <v>594.79999999999995</v>
      </c>
      <c r="I266" s="34" t="s">
        <v>45</v>
      </c>
      <c r="J266" s="36" t="s">
        <v>54</v>
      </c>
      <c r="K266" s="37"/>
      <c r="L266" s="38"/>
      <c r="M266" s="38"/>
      <c r="N266" s="38"/>
      <c r="O266" s="38"/>
      <c r="P266" s="38"/>
      <c r="Q266" s="39"/>
      <c r="R266" s="311"/>
      <c r="S266" s="66" t="str">
        <f t="shared" si="73"/>
        <v>LUC</v>
      </c>
      <c r="T266" s="45"/>
      <c r="U266" s="248"/>
      <c r="V266" s="67"/>
      <c r="W266" s="67"/>
    </row>
    <row r="267" spans="1:23" s="68" customFormat="1" ht="49.5" customHeight="1">
      <c r="A267" s="308"/>
      <c r="B267" s="33" t="s">
        <v>420</v>
      </c>
      <c r="C267" s="36" t="s">
        <v>423</v>
      </c>
      <c r="D267" s="36"/>
      <c r="E267" s="239">
        <v>108</v>
      </c>
      <c r="F267" s="34">
        <v>294</v>
      </c>
      <c r="G267" s="34">
        <v>28</v>
      </c>
      <c r="H267" s="35">
        <v>96.8</v>
      </c>
      <c r="I267" s="34" t="s">
        <v>49</v>
      </c>
      <c r="J267" s="36" t="s">
        <v>109</v>
      </c>
      <c r="K267" s="37"/>
      <c r="L267" s="38">
        <f t="shared" si="72"/>
        <v>96.8</v>
      </c>
      <c r="M267" s="38"/>
      <c r="N267" s="38"/>
      <c r="O267" s="38"/>
      <c r="P267" s="38"/>
      <c r="Q267" s="39">
        <f t="shared" si="75"/>
        <v>96.8</v>
      </c>
      <c r="R267" s="311"/>
      <c r="S267" s="66" t="str">
        <f t="shared" si="73"/>
        <v>LUK</v>
      </c>
      <c r="T267" s="45"/>
      <c r="U267" s="248"/>
      <c r="V267" s="67"/>
      <c r="W267" s="67"/>
    </row>
    <row r="268" spans="1:23" s="68" customFormat="1" ht="82.5" customHeight="1">
      <c r="A268" s="32">
        <v>84</v>
      </c>
      <c r="B268" s="33" t="s">
        <v>424</v>
      </c>
      <c r="C268" s="36">
        <v>79</v>
      </c>
      <c r="D268" s="36">
        <v>4</v>
      </c>
      <c r="E268" s="239">
        <v>360</v>
      </c>
      <c r="F268" s="34">
        <v>30</v>
      </c>
      <c r="G268" s="34">
        <v>28</v>
      </c>
      <c r="H268" s="35">
        <v>336.9</v>
      </c>
      <c r="I268" s="34" t="s">
        <v>45</v>
      </c>
      <c r="J268" s="36" t="s">
        <v>60</v>
      </c>
      <c r="K268" s="37">
        <v>336.9</v>
      </c>
      <c r="L268" s="38"/>
      <c r="M268" s="38"/>
      <c r="N268" s="38"/>
      <c r="O268" s="38"/>
      <c r="P268" s="38"/>
      <c r="Q268" s="39">
        <f t="shared" si="75"/>
        <v>336.9</v>
      </c>
      <c r="R268" s="310">
        <f>SUM(Q268:Q277)</f>
        <v>1681.8</v>
      </c>
      <c r="S268" s="66" t="str">
        <f t="shared" si="73"/>
        <v>LUC</v>
      </c>
      <c r="T268" s="45"/>
      <c r="U268" s="248"/>
      <c r="V268" s="67"/>
      <c r="W268" s="67"/>
    </row>
    <row r="269" spans="1:23" s="68" customFormat="1" ht="49.5" customHeight="1">
      <c r="A269" s="307">
        <v>85</v>
      </c>
      <c r="B269" s="33" t="s">
        <v>425</v>
      </c>
      <c r="C269" s="36">
        <v>98</v>
      </c>
      <c r="D269" s="36">
        <v>5</v>
      </c>
      <c r="E269" s="239">
        <v>240</v>
      </c>
      <c r="F269" s="34">
        <v>75</v>
      </c>
      <c r="G269" s="34">
        <v>28</v>
      </c>
      <c r="H269" s="35">
        <v>408.7</v>
      </c>
      <c r="I269" s="34" t="s">
        <v>45</v>
      </c>
      <c r="J269" s="36" t="s">
        <v>60</v>
      </c>
      <c r="K269" s="37">
        <v>240</v>
      </c>
      <c r="L269" s="38">
        <f>364.6-240</f>
        <v>124.60000000000002</v>
      </c>
      <c r="M269" s="38"/>
      <c r="N269" s="38"/>
      <c r="O269" s="38"/>
      <c r="P269" s="38"/>
      <c r="Q269" s="39">
        <f t="shared" si="75"/>
        <v>364.6</v>
      </c>
      <c r="R269" s="311"/>
      <c r="S269" s="66" t="str">
        <f t="shared" si="73"/>
        <v>LUC</v>
      </c>
      <c r="T269" s="45"/>
      <c r="U269" s="248"/>
      <c r="V269" s="67"/>
      <c r="W269" s="67"/>
    </row>
    <row r="270" spans="1:23" s="68" customFormat="1" ht="49.5" customHeight="1">
      <c r="A270" s="308"/>
      <c r="B270" s="33" t="s">
        <v>425</v>
      </c>
      <c r="C270" s="77"/>
      <c r="D270" s="77"/>
      <c r="E270" s="78"/>
      <c r="F270" s="34">
        <v>74</v>
      </c>
      <c r="G270" s="34">
        <v>28</v>
      </c>
      <c r="H270" s="35">
        <v>471.5</v>
      </c>
      <c r="I270" s="34" t="s">
        <v>45</v>
      </c>
      <c r="J270" s="36" t="s">
        <v>60</v>
      </c>
      <c r="K270" s="37"/>
      <c r="L270" s="38">
        <v>116.8</v>
      </c>
      <c r="M270" s="38"/>
      <c r="N270" s="38"/>
      <c r="O270" s="38"/>
      <c r="P270" s="38"/>
      <c r="Q270" s="39">
        <f t="shared" si="75"/>
        <v>116.8</v>
      </c>
      <c r="R270" s="311"/>
      <c r="S270" s="66" t="str">
        <f t="shared" si="73"/>
        <v>LUC</v>
      </c>
      <c r="T270" s="45"/>
      <c r="U270" s="248"/>
      <c r="V270" s="67"/>
      <c r="W270" s="67"/>
    </row>
    <row r="271" spans="1:23" s="68" customFormat="1" ht="49.5" customHeight="1">
      <c r="A271" s="308"/>
      <c r="B271" s="33" t="s">
        <v>425</v>
      </c>
      <c r="C271" s="36"/>
      <c r="D271" s="36"/>
      <c r="E271" s="239"/>
      <c r="F271" s="34">
        <v>152</v>
      </c>
      <c r="G271" s="34">
        <v>28</v>
      </c>
      <c r="H271" s="35">
        <v>103.5</v>
      </c>
      <c r="I271" s="34" t="s">
        <v>55</v>
      </c>
      <c r="J271" s="36" t="s">
        <v>60</v>
      </c>
      <c r="K271" s="37"/>
      <c r="L271" s="38"/>
      <c r="M271" s="38"/>
      <c r="N271" s="38">
        <v>103.5</v>
      </c>
      <c r="O271" s="38"/>
      <c r="P271" s="38"/>
      <c r="Q271" s="39">
        <f t="shared" si="75"/>
        <v>103.5</v>
      </c>
      <c r="R271" s="311"/>
      <c r="S271" s="66" t="str">
        <f t="shared" si="73"/>
        <v>BHK</v>
      </c>
      <c r="T271" s="45"/>
      <c r="U271" s="248"/>
      <c r="V271" s="67"/>
      <c r="W271" s="67"/>
    </row>
    <row r="272" spans="1:23" s="68" customFormat="1" ht="49.5" customHeight="1">
      <c r="A272" s="308"/>
      <c r="B272" s="33" t="s">
        <v>425</v>
      </c>
      <c r="C272" s="36">
        <v>85</v>
      </c>
      <c r="D272" s="36">
        <v>4</v>
      </c>
      <c r="E272" s="239">
        <v>240</v>
      </c>
      <c r="F272" s="34">
        <v>153</v>
      </c>
      <c r="G272" s="34">
        <v>28</v>
      </c>
      <c r="H272" s="35">
        <v>114.3</v>
      </c>
      <c r="I272" s="34" t="s">
        <v>55</v>
      </c>
      <c r="J272" s="36" t="s">
        <v>60</v>
      </c>
      <c r="K272" s="37">
        <v>114.3</v>
      </c>
      <c r="L272" s="38">
        <f t="shared" ref="L272" si="77">H272-K272</f>
        <v>0</v>
      </c>
      <c r="M272" s="38"/>
      <c r="N272" s="38"/>
      <c r="O272" s="38"/>
      <c r="P272" s="38"/>
      <c r="Q272" s="39">
        <f t="shared" si="75"/>
        <v>114.3</v>
      </c>
      <c r="R272" s="311"/>
      <c r="S272" s="66" t="str">
        <f t="shared" si="73"/>
        <v>BHK</v>
      </c>
      <c r="T272" s="45"/>
      <c r="U272" s="248"/>
      <c r="V272" s="67"/>
      <c r="W272" s="67"/>
    </row>
    <row r="273" spans="1:23" s="68" customFormat="1" ht="49.5" customHeight="1">
      <c r="A273" s="308"/>
      <c r="B273" s="33" t="s">
        <v>425</v>
      </c>
      <c r="C273" s="77"/>
      <c r="D273" s="77"/>
      <c r="E273" s="78"/>
      <c r="F273" s="320">
        <v>125</v>
      </c>
      <c r="G273" s="320">
        <v>28</v>
      </c>
      <c r="H273" s="328">
        <v>127.8</v>
      </c>
      <c r="I273" s="320" t="s">
        <v>55</v>
      </c>
      <c r="J273" s="322" t="s">
        <v>60</v>
      </c>
      <c r="K273" s="37"/>
      <c r="L273" s="38"/>
      <c r="M273" s="38"/>
      <c r="N273" s="38">
        <f>127.8-125.7</f>
        <v>2.0999999999999943</v>
      </c>
      <c r="O273" s="38"/>
      <c r="P273" s="38"/>
      <c r="Q273" s="39">
        <f t="shared" si="75"/>
        <v>2.0999999999999943</v>
      </c>
      <c r="R273" s="311"/>
      <c r="S273" s="66" t="str">
        <f t="shared" si="73"/>
        <v>BHK</v>
      </c>
      <c r="T273" s="45"/>
      <c r="U273" s="248"/>
      <c r="V273" s="67"/>
      <c r="W273" s="67"/>
    </row>
    <row r="274" spans="1:23" s="68" customFormat="1" ht="49.5" customHeight="1">
      <c r="A274" s="308"/>
      <c r="B274" s="33" t="s">
        <v>425</v>
      </c>
      <c r="C274" s="77"/>
      <c r="D274" s="77"/>
      <c r="E274" s="78"/>
      <c r="F274" s="321"/>
      <c r="G274" s="321"/>
      <c r="H274" s="329"/>
      <c r="I274" s="321"/>
      <c r="J274" s="324"/>
      <c r="K274" s="37">
        <f>240-K272</f>
        <v>125.7</v>
      </c>
      <c r="L274" s="38"/>
      <c r="M274" s="38"/>
      <c r="N274" s="38"/>
      <c r="O274" s="38"/>
      <c r="P274" s="38"/>
      <c r="Q274" s="39">
        <f t="shared" si="75"/>
        <v>125.7</v>
      </c>
      <c r="R274" s="311"/>
      <c r="S274" s="66" t="s">
        <v>55</v>
      </c>
      <c r="T274" s="45"/>
      <c r="U274" s="248"/>
      <c r="V274" s="67"/>
      <c r="W274" s="67"/>
    </row>
    <row r="275" spans="1:23" s="68" customFormat="1" ht="49.5" customHeight="1">
      <c r="A275" s="308"/>
      <c r="B275" s="33" t="s">
        <v>425</v>
      </c>
      <c r="C275" s="36">
        <v>83</v>
      </c>
      <c r="D275" s="36">
        <v>4</v>
      </c>
      <c r="E275" s="239">
        <v>432</v>
      </c>
      <c r="F275" s="34">
        <v>195</v>
      </c>
      <c r="G275" s="34">
        <v>28</v>
      </c>
      <c r="H275" s="35">
        <v>349.5</v>
      </c>
      <c r="I275" s="34" t="s">
        <v>45</v>
      </c>
      <c r="J275" s="36" t="s">
        <v>60</v>
      </c>
      <c r="K275" s="37">
        <v>266.60000000000002</v>
      </c>
      <c r="L275" s="38"/>
      <c r="M275" s="38"/>
      <c r="N275" s="38"/>
      <c r="O275" s="38"/>
      <c r="P275" s="38"/>
      <c r="Q275" s="39">
        <f t="shared" si="75"/>
        <v>266.60000000000002</v>
      </c>
      <c r="R275" s="311"/>
      <c r="S275" s="66" t="str">
        <f t="shared" ref="S275:S288" si="78">I275</f>
        <v>LUC</v>
      </c>
      <c r="T275" s="45"/>
      <c r="U275" s="248"/>
      <c r="V275" s="67"/>
      <c r="W275" s="67"/>
    </row>
    <row r="276" spans="1:23" s="68" customFormat="1" ht="49.5" customHeight="1">
      <c r="A276" s="308"/>
      <c r="B276" s="33" t="s">
        <v>425</v>
      </c>
      <c r="C276" s="77"/>
      <c r="D276" s="77"/>
      <c r="E276" s="78"/>
      <c r="F276" s="34">
        <v>196</v>
      </c>
      <c r="G276" s="34">
        <v>28</v>
      </c>
      <c r="H276" s="35">
        <v>232.9</v>
      </c>
      <c r="I276" s="34" t="s">
        <v>45</v>
      </c>
      <c r="J276" s="36" t="s">
        <v>60</v>
      </c>
      <c r="K276" s="37">
        <f>432-266.6</f>
        <v>165.39999999999998</v>
      </c>
      <c r="L276" s="38">
        <f>179-K276</f>
        <v>13.600000000000023</v>
      </c>
      <c r="M276" s="38"/>
      <c r="N276" s="38"/>
      <c r="O276" s="38"/>
      <c r="P276" s="38"/>
      <c r="Q276" s="39">
        <f t="shared" si="75"/>
        <v>179</v>
      </c>
      <c r="R276" s="311"/>
      <c r="S276" s="66" t="str">
        <f t="shared" si="78"/>
        <v>LUC</v>
      </c>
      <c r="T276" s="45"/>
      <c r="U276" s="248"/>
      <c r="V276" s="67"/>
      <c r="W276" s="67"/>
    </row>
    <row r="277" spans="1:23" s="68" customFormat="1" ht="49.5" customHeight="1">
      <c r="A277" s="309"/>
      <c r="B277" s="33" t="s">
        <v>425</v>
      </c>
      <c r="C277" s="36">
        <v>1</v>
      </c>
      <c r="D277" s="36">
        <v>5</v>
      </c>
      <c r="E277" s="239">
        <v>72</v>
      </c>
      <c r="F277" s="34">
        <v>363</v>
      </c>
      <c r="G277" s="34">
        <v>28</v>
      </c>
      <c r="H277" s="35">
        <v>72.3</v>
      </c>
      <c r="I277" s="34" t="s">
        <v>49</v>
      </c>
      <c r="J277" s="36" t="s">
        <v>57</v>
      </c>
      <c r="K277" s="37">
        <f t="shared" si="69"/>
        <v>72</v>
      </c>
      <c r="L277" s="38">
        <f t="shared" si="72"/>
        <v>0.29999999999999716</v>
      </c>
      <c r="M277" s="38"/>
      <c r="N277" s="38"/>
      <c r="O277" s="38"/>
      <c r="P277" s="38"/>
      <c r="Q277" s="39">
        <f t="shared" si="75"/>
        <v>72.3</v>
      </c>
      <c r="R277" s="312"/>
      <c r="S277" s="66" t="str">
        <f t="shared" si="78"/>
        <v>LUK</v>
      </c>
      <c r="T277" s="45"/>
      <c r="U277" s="248"/>
      <c r="V277" s="67"/>
      <c r="W277" s="67"/>
    </row>
    <row r="278" spans="1:23" s="47" customFormat="1" ht="49.5" customHeight="1">
      <c r="A278" s="307">
        <v>86</v>
      </c>
      <c r="B278" s="33" t="s">
        <v>426</v>
      </c>
      <c r="C278" s="36"/>
      <c r="D278" s="36"/>
      <c r="E278" s="239"/>
      <c r="F278" s="34">
        <v>175</v>
      </c>
      <c r="G278" s="34">
        <v>21</v>
      </c>
      <c r="H278" s="35">
        <v>135.4</v>
      </c>
      <c r="I278" s="34" t="s">
        <v>45</v>
      </c>
      <c r="J278" s="36" t="s">
        <v>260</v>
      </c>
      <c r="K278" s="37"/>
      <c r="L278" s="38">
        <v>135.4</v>
      </c>
      <c r="M278" s="38"/>
      <c r="N278" s="38"/>
      <c r="O278" s="38"/>
      <c r="P278" s="38"/>
      <c r="Q278" s="39">
        <f t="shared" si="75"/>
        <v>135.4</v>
      </c>
      <c r="R278" s="310">
        <f>SUM(Q278:Q283)</f>
        <v>1398.3999999999999</v>
      </c>
      <c r="S278" s="66" t="str">
        <f t="shared" si="78"/>
        <v>LUC</v>
      </c>
      <c r="T278" s="45"/>
      <c r="U278" s="247"/>
      <c r="V278" s="46"/>
      <c r="W278" s="46"/>
    </row>
    <row r="279" spans="1:23" s="47" customFormat="1" ht="49.5" customHeight="1">
      <c r="A279" s="308"/>
      <c r="B279" s="33" t="s">
        <v>426</v>
      </c>
      <c r="C279" s="36">
        <v>191</v>
      </c>
      <c r="D279" s="36">
        <v>5</v>
      </c>
      <c r="E279" s="239">
        <v>96</v>
      </c>
      <c r="F279" s="34">
        <v>278</v>
      </c>
      <c r="G279" s="34">
        <v>28</v>
      </c>
      <c r="H279" s="35">
        <v>138.1</v>
      </c>
      <c r="I279" s="34" t="s">
        <v>45</v>
      </c>
      <c r="J279" s="36" t="s">
        <v>109</v>
      </c>
      <c r="K279" s="37">
        <f t="shared" ref="K279" si="79">E279</f>
        <v>96</v>
      </c>
      <c r="L279" s="38">
        <f t="shared" ref="L279" si="80">H279-K279</f>
        <v>42.099999999999994</v>
      </c>
      <c r="M279" s="38"/>
      <c r="N279" s="38"/>
      <c r="O279" s="38"/>
      <c r="P279" s="38"/>
      <c r="Q279" s="39">
        <f t="shared" si="75"/>
        <v>138.1</v>
      </c>
      <c r="R279" s="311"/>
      <c r="S279" s="66" t="str">
        <f t="shared" si="78"/>
        <v>LUC</v>
      </c>
      <c r="T279" s="45"/>
      <c r="U279" s="247"/>
      <c r="V279" s="46"/>
      <c r="W279" s="46"/>
    </row>
    <row r="280" spans="1:23" s="47" customFormat="1" ht="56.25" customHeight="1">
      <c r="A280" s="308"/>
      <c r="B280" s="33" t="s">
        <v>426</v>
      </c>
      <c r="C280" s="36">
        <v>188</v>
      </c>
      <c r="D280" s="36">
        <v>5</v>
      </c>
      <c r="E280" s="239">
        <v>144</v>
      </c>
      <c r="F280" s="34">
        <v>298</v>
      </c>
      <c r="G280" s="34">
        <v>28</v>
      </c>
      <c r="H280" s="35">
        <v>107.9</v>
      </c>
      <c r="I280" s="34" t="s">
        <v>49</v>
      </c>
      <c r="J280" s="36" t="s">
        <v>111</v>
      </c>
      <c r="K280" s="37">
        <v>107.9</v>
      </c>
      <c r="L280" s="38"/>
      <c r="M280" s="38"/>
      <c r="N280" s="38"/>
      <c r="O280" s="38"/>
      <c r="P280" s="38"/>
      <c r="Q280" s="39">
        <f t="shared" si="75"/>
        <v>107.9</v>
      </c>
      <c r="R280" s="311"/>
      <c r="S280" s="66" t="str">
        <f t="shared" si="78"/>
        <v>LUK</v>
      </c>
      <c r="T280" s="45"/>
      <c r="U280" s="247"/>
      <c r="V280" s="46"/>
      <c r="W280" s="46"/>
    </row>
    <row r="281" spans="1:23" s="47" customFormat="1" ht="56.25" customHeight="1">
      <c r="A281" s="308"/>
      <c r="B281" s="33" t="s">
        <v>426</v>
      </c>
      <c r="C281" s="77"/>
      <c r="D281" s="77"/>
      <c r="E281" s="78"/>
      <c r="F281" s="34">
        <v>353</v>
      </c>
      <c r="G281" s="34">
        <v>28</v>
      </c>
      <c r="H281" s="35">
        <v>125.2</v>
      </c>
      <c r="I281" s="34" t="s">
        <v>49</v>
      </c>
      <c r="J281" s="36" t="s">
        <v>111</v>
      </c>
      <c r="K281" s="37">
        <f>144-107.9</f>
        <v>36.099999999999994</v>
      </c>
      <c r="L281" s="38">
        <f t="shared" si="72"/>
        <v>89.100000000000009</v>
      </c>
      <c r="M281" s="38"/>
      <c r="N281" s="38"/>
      <c r="O281" s="38"/>
      <c r="P281" s="38"/>
      <c r="Q281" s="39">
        <f t="shared" si="75"/>
        <v>125.2</v>
      </c>
      <c r="R281" s="311"/>
      <c r="S281" s="66" t="str">
        <f t="shared" si="78"/>
        <v>LUK</v>
      </c>
      <c r="T281" s="45"/>
      <c r="U281" s="247"/>
      <c r="V281" s="46"/>
      <c r="W281" s="46"/>
    </row>
    <row r="282" spans="1:23" s="47" customFormat="1" ht="56.25" customHeight="1">
      <c r="A282" s="308"/>
      <c r="B282" s="33" t="s">
        <v>426</v>
      </c>
      <c r="C282" s="36">
        <v>104</v>
      </c>
      <c r="D282" s="36">
        <v>5</v>
      </c>
      <c r="E282" s="239">
        <v>576</v>
      </c>
      <c r="F282" s="34">
        <v>377</v>
      </c>
      <c r="G282" s="34">
        <v>28</v>
      </c>
      <c r="H282" s="35">
        <v>675.3</v>
      </c>
      <c r="I282" s="34" t="s">
        <v>49</v>
      </c>
      <c r="J282" s="36" t="s">
        <v>427</v>
      </c>
      <c r="K282" s="37">
        <f t="shared" ref="K282" si="81">E282</f>
        <v>576</v>
      </c>
      <c r="L282" s="38">
        <f t="shared" si="72"/>
        <v>99.299999999999955</v>
      </c>
      <c r="M282" s="38"/>
      <c r="N282" s="38"/>
      <c r="O282" s="38"/>
      <c r="P282" s="38"/>
      <c r="Q282" s="39">
        <f t="shared" si="75"/>
        <v>675.3</v>
      </c>
      <c r="R282" s="311"/>
      <c r="S282" s="66" t="str">
        <f t="shared" si="78"/>
        <v>LUK</v>
      </c>
      <c r="T282" s="45"/>
      <c r="U282" s="247"/>
      <c r="V282" s="46"/>
      <c r="W282" s="46"/>
    </row>
    <row r="283" spans="1:23" s="47" customFormat="1" ht="56.25" customHeight="1">
      <c r="A283" s="308"/>
      <c r="B283" s="33" t="s">
        <v>426</v>
      </c>
      <c r="C283" s="36">
        <v>184</v>
      </c>
      <c r="D283" s="36">
        <v>5</v>
      </c>
      <c r="E283" s="239">
        <v>204</v>
      </c>
      <c r="F283" s="34">
        <v>382</v>
      </c>
      <c r="G283" s="34">
        <v>28</v>
      </c>
      <c r="H283" s="35">
        <v>216.5</v>
      </c>
      <c r="I283" s="34" t="s">
        <v>49</v>
      </c>
      <c r="J283" s="36" t="s">
        <v>111</v>
      </c>
      <c r="K283" s="37">
        <f t="shared" si="69"/>
        <v>204</v>
      </c>
      <c r="L283" s="38">
        <f t="shared" si="72"/>
        <v>12.5</v>
      </c>
      <c r="M283" s="38"/>
      <c r="N283" s="38"/>
      <c r="O283" s="38"/>
      <c r="P283" s="38"/>
      <c r="Q283" s="39">
        <f t="shared" si="75"/>
        <v>216.5</v>
      </c>
      <c r="R283" s="311"/>
      <c r="S283" s="66" t="str">
        <f t="shared" si="78"/>
        <v>LUK</v>
      </c>
      <c r="T283" s="45"/>
      <c r="U283" s="247"/>
      <c r="V283" s="46"/>
      <c r="W283" s="46"/>
    </row>
    <row r="284" spans="1:23" s="47" customFormat="1" ht="49.5" customHeight="1">
      <c r="A284" s="307">
        <v>87</v>
      </c>
      <c r="B284" s="33" t="s">
        <v>429</v>
      </c>
      <c r="C284" s="36">
        <v>81</v>
      </c>
      <c r="D284" s="36">
        <v>4</v>
      </c>
      <c r="E284" s="239">
        <v>600</v>
      </c>
      <c r="F284" s="34">
        <v>228</v>
      </c>
      <c r="G284" s="34">
        <v>28</v>
      </c>
      <c r="H284" s="35">
        <v>687.8</v>
      </c>
      <c r="I284" s="34" t="s">
        <v>45</v>
      </c>
      <c r="J284" s="36" t="s">
        <v>46</v>
      </c>
      <c r="K284" s="37">
        <f t="shared" ref="K284" si="82">E284</f>
        <v>600</v>
      </c>
      <c r="L284" s="38">
        <f t="shared" ref="L284" si="83">H284-K284</f>
        <v>87.799999999999955</v>
      </c>
      <c r="M284" s="38"/>
      <c r="N284" s="38"/>
      <c r="O284" s="38"/>
      <c r="P284" s="38"/>
      <c r="Q284" s="39">
        <f t="shared" si="75"/>
        <v>687.8</v>
      </c>
      <c r="R284" s="310">
        <f>SUM(Q284:Q289)</f>
        <v>1510.1000000000001</v>
      </c>
      <c r="S284" s="66" t="str">
        <f t="shared" si="78"/>
        <v>LUC</v>
      </c>
      <c r="T284" s="56"/>
      <c r="U284" s="247"/>
      <c r="V284" s="46"/>
      <c r="W284" s="46"/>
    </row>
    <row r="285" spans="1:23" s="47" customFormat="1" ht="49.5" customHeight="1">
      <c r="A285" s="308"/>
      <c r="B285" s="33" t="s">
        <v>429</v>
      </c>
      <c r="C285" s="322">
        <v>266</v>
      </c>
      <c r="D285" s="322">
        <v>4</v>
      </c>
      <c r="E285" s="325">
        <v>288</v>
      </c>
      <c r="F285" s="34">
        <v>453</v>
      </c>
      <c r="G285" s="34">
        <v>28</v>
      </c>
      <c r="H285" s="35">
        <v>172</v>
      </c>
      <c r="I285" s="34" t="s">
        <v>49</v>
      </c>
      <c r="J285" s="36" t="s">
        <v>410</v>
      </c>
      <c r="K285" s="37">
        <v>172</v>
      </c>
      <c r="L285" s="38">
        <f t="shared" ref="L285" si="84">H285-K285</f>
        <v>0</v>
      </c>
      <c r="M285" s="38"/>
      <c r="N285" s="38"/>
      <c r="O285" s="38"/>
      <c r="P285" s="38"/>
      <c r="Q285" s="39">
        <f t="shared" si="75"/>
        <v>172</v>
      </c>
      <c r="R285" s="311"/>
      <c r="S285" s="66" t="str">
        <f t="shared" si="78"/>
        <v>LUK</v>
      </c>
      <c r="T285" s="81"/>
      <c r="U285" s="247"/>
      <c r="V285" s="46"/>
      <c r="W285" s="46"/>
    </row>
    <row r="286" spans="1:23" s="47" customFormat="1" ht="49.5" customHeight="1">
      <c r="A286" s="308"/>
      <c r="B286" s="33" t="s">
        <v>429</v>
      </c>
      <c r="C286" s="323"/>
      <c r="D286" s="323"/>
      <c r="E286" s="326"/>
      <c r="F286" s="34">
        <v>452</v>
      </c>
      <c r="G286" s="34">
        <v>28</v>
      </c>
      <c r="H286" s="35">
        <v>102.2</v>
      </c>
      <c r="I286" s="34" t="s">
        <v>49</v>
      </c>
      <c r="J286" s="36" t="s">
        <v>410</v>
      </c>
      <c r="K286" s="37">
        <v>102.2</v>
      </c>
      <c r="L286" s="38">
        <f t="shared" ref="L286" si="85">H286-K286</f>
        <v>0</v>
      </c>
      <c r="M286" s="38"/>
      <c r="N286" s="38"/>
      <c r="O286" s="38"/>
      <c r="P286" s="38"/>
      <c r="Q286" s="39">
        <f t="shared" si="75"/>
        <v>102.2</v>
      </c>
      <c r="R286" s="311"/>
      <c r="S286" s="66" t="str">
        <f t="shared" si="78"/>
        <v>LUK</v>
      </c>
      <c r="T286" s="45"/>
      <c r="U286" s="247"/>
      <c r="V286" s="46"/>
      <c r="W286" s="46"/>
    </row>
    <row r="287" spans="1:23" s="47" customFormat="1" ht="49.5" customHeight="1">
      <c r="A287" s="308"/>
      <c r="B287" s="33" t="s">
        <v>429</v>
      </c>
      <c r="C287" s="36"/>
      <c r="D287" s="36"/>
      <c r="E287" s="239"/>
      <c r="F287" s="34">
        <v>384</v>
      </c>
      <c r="G287" s="34">
        <v>28</v>
      </c>
      <c r="H287" s="35">
        <v>15.1</v>
      </c>
      <c r="I287" s="34" t="s">
        <v>49</v>
      </c>
      <c r="J287" s="36" t="s">
        <v>410</v>
      </c>
      <c r="K287" s="37"/>
      <c r="L287" s="38">
        <f t="shared" si="72"/>
        <v>15.1</v>
      </c>
      <c r="M287" s="38"/>
      <c r="N287" s="38"/>
      <c r="O287" s="38"/>
      <c r="P287" s="38"/>
      <c r="Q287" s="39">
        <f t="shared" si="75"/>
        <v>15.1</v>
      </c>
      <c r="R287" s="311"/>
      <c r="S287" s="66" t="str">
        <f t="shared" si="78"/>
        <v>LUK</v>
      </c>
      <c r="T287" s="45"/>
      <c r="U287" s="247"/>
      <c r="V287" s="46"/>
      <c r="W287" s="46"/>
    </row>
    <row r="288" spans="1:23" s="47" customFormat="1" ht="49.5" customHeight="1">
      <c r="A288" s="308"/>
      <c r="B288" s="33" t="s">
        <v>429</v>
      </c>
      <c r="C288" s="36">
        <v>41</v>
      </c>
      <c r="D288" s="36">
        <v>4</v>
      </c>
      <c r="E288" s="239">
        <v>432</v>
      </c>
      <c r="F288" s="34">
        <v>202</v>
      </c>
      <c r="G288" s="34">
        <v>21</v>
      </c>
      <c r="H288" s="35">
        <v>483.8</v>
      </c>
      <c r="I288" s="34" t="s">
        <v>49</v>
      </c>
      <c r="J288" s="36" t="s">
        <v>260</v>
      </c>
      <c r="K288" s="37">
        <f t="shared" ref="K288" si="86">E288</f>
        <v>432</v>
      </c>
      <c r="L288" s="38">
        <f t="shared" si="72"/>
        <v>51.800000000000011</v>
      </c>
      <c r="M288" s="38"/>
      <c r="N288" s="38"/>
      <c r="O288" s="38"/>
      <c r="P288" s="38"/>
      <c r="Q288" s="39">
        <f t="shared" si="75"/>
        <v>483.8</v>
      </c>
      <c r="R288" s="311"/>
      <c r="S288" s="66" t="str">
        <f t="shared" si="78"/>
        <v>LUK</v>
      </c>
      <c r="T288" s="45"/>
      <c r="U288" s="247"/>
      <c r="V288" s="46"/>
      <c r="W288" s="46"/>
    </row>
    <row r="289" spans="1:23" s="47" customFormat="1" ht="49.5" customHeight="1">
      <c r="A289" s="309"/>
      <c r="B289" s="33" t="s">
        <v>429</v>
      </c>
      <c r="C289" s="36"/>
      <c r="D289" s="36"/>
      <c r="E289" s="239"/>
      <c r="F289" s="34">
        <v>25</v>
      </c>
      <c r="G289" s="34">
        <v>28</v>
      </c>
      <c r="H289" s="35">
        <v>49.2</v>
      </c>
      <c r="I289" s="34" t="s">
        <v>55</v>
      </c>
      <c r="J289" s="36" t="s">
        <v>227</v>
      </c>
      <c r="K289" s="37"/>
      <c r="L289" s="38"/>
      <c r="M289" s="38">
        <v>49.2</v>
      </c>
      <c r="N289" s="38"/>
      <c r="O289" s="68"/>
      <c r="P289" s="68"/>
      <c r="Q289" s="39">
        <f t="shared" si="75"/>
        <v>49.2</v>
      </c>
      <c r="R289" s="312"/>
      <c r="S289" s="66" t="s">
        <v>553</v>
      </c>
      <c r="T289" s="45"/>
      <c r="U289" s="247"/>
      <c r="V289" s="46"/>
      <c r="W289" s="46"/>
    </row>
    <row r="290" spans="1:23" s="68" customFormat="1" ht="56.25" customHeight="1">
      <c r="A290" s="307">
        <v>88</v>
      </c>
      <c r="B290" s="33" t="s">
        <v>431</v>
      </c>
      <c r="C290" s="36">
        <v>48</v>
      </c>
      <c r="D290" s="36">
        <v>4</v>
      </c>
      <c r="E290" s="239">
        <v>312</v>
      </c>
      <c r="F290" s="34">
        <v>207</v>
      </c>
      <c r="G290" s="34">
        <v>21</v>
      </c>
      <c r="H290" s="35">
        <v>358.3</v>
      </c>
      <c r="I290" s="34" t="s">
        <v>45</v>
      </c>
      <c r="J290" s="36" t="s">
        <v>260</v>
      </c>
      <c r="K290" s="37">
        <f t="shared" ref="K290" si="87">E290</f>
        <v>312</v>
      </c>
      <c r="L290" s="38">
        <f t="shared" ref="L290:L293" si="88">H290-K290</f>
        <v>46.300000000000011</v>
      </c>
      <c r="M290" s="38"/>
      <c r="N290" s="38"/>
      <c r="O290" s="38"/>
      <c r="P290" s="38"/>
      <c r="Q290" s="39">
        <f t="shared" si="75"/>
        <v>358.3</v>
      </c>
      <c r="R290" s="310">
        <f>SUM(Q290:Q295)</f>
        <v>1245.9000000000001</v>
      </c>
      <c r="S290" s="66" t="str">
        <f>I290</f>
        <v>LUC</v>
      </c>
      <c r="T290" s="45"/>
      <c r="U290" s="248"/>
      <c r="V290" s="67"/>
      <c r="W290" s="67"/>
    </row>
    <row r="291" spans="1:23" s="68" customFormat="1" ht="56.25" customHeight="1">
      <c r="A291" s="308"/>
      <c r="B291" s="33" t="s">
        <v>431</v>
      </c>
      <c r="C291" s="36"/>
      <c r="D291" s="36"/>
      <c r="E291" s="239"/>
      <c r="F291" s="34">
        <v>154</v>
      </c>
      <c r="G291" s="34">
        <v>28</v>
      </c>
      <c r="H291" s="35">
        <v>197.4</v>
      </c>
      <c r="I291" s="34" t="s">
        <v>45</v>
      </c>
      <c r="J291" s="36" t="s">
        <v>50</v>
      </c>
      <c r="K291" s="37"/>
      <c r="L291" s="38">
        <v>60</v>
      </c>
      <c r="M291" s="38"/>
      <c r="N291" s="38"/>
      <c r="O291" s="38"/>
      <c r="P291" s="38"/>
      <c r="Q291" s="39">
        <f t="shared" si="75"/>
        <v>60</v>
      </c>
      <c r="R291" s="311"/>
      <c r="S291" s="66" t="str">
        <f>I291</f>
        <v>LUC</v>
      </c>
      <c r="T291" s="45"/>
      <c r="U291" s="248"/>
      <c r="V291" s="67"/>
      <c r="W291" s="67"/>
    </row>
    <row r="292" spans="1:23" s="68" customFormat="1" ht="56.25" customHeight="1">
      <c r="A292" s="308"/>
      <c r="B292" s="33" t="s">
        <v>431</v>
      </c>
      <c r="C292" s="36"/>
      <c r="D292" s="36"/>
      <c r="E292" s="239"/>
      <c r="F292" s="34">
        <v>139</v>
      </c>
      <c r="G292" s="34">
        <v>28</v>
      </c>
      <c r="H292" s="35">
        <v>115.1</v>
      </c>
      <c r="I292" s="34" t="s">
        <v>45</v>
      </c>
      <c r="J292" s="36" t="s">
        <v>50</v>
      </c>
      <c r="K292" s="37"/>
      <c r="L292" s="38"/>
      <c r="M292" s="38">
        <v>115.1</v>
      </c>
      <c r="N292" s="38"/>
      <c r="O292" s="38"/>
      <c r="P292" s="38"/>
      <c r="Q292" s="39">
        <f t="shared" si="75"/>
        <v>115.1</v>
      </c>
      <c r="R292" s="311"/>
      <c r="S292" s="66" t="s">
        <v>553</v>
      </c>
      <c r="T292" s="45"/>
      <c r="U292" s="248"/>
      <c r="V292" s="67"/>
      <c r="W292" s="67"/>
    </row>
    <row r="293" spans="1:23" s="68" customFormat="1" ht="56.25" customHeight="1">
      <c r="A293" s="308"/>
      <c r="B293" s="33" t="s">
        <v>431</v>
      </c>
      <c r="C293" s="36">
        <v>128</v>
      </c>
      <c r="D293" s="36">
        <v>5</v>
      </c>
      <c r="E293" s="239">
        <v>192</v>
      </c>
      <c r="F293" s="34">
        <v>281</v>
      </c>
      <c r="G293" s="34">
        <v>28</v>
      </c>
      <c r="H293" s="35">
        <v>241.3</v>
      </c>
      <c r="I293" s="34" t="s">
        <v>49</v>
      </c>
      <c r="J293" s="36" t="s">
        <v>50</v>
      </c>
      <c r="K293" s="37">
        <f t="shared" ref="K293" si="89">E293</f>
        <v>192</v>
      </c>
      <c r="L293" s="38">
        <f t="shared" si="88"/>
        <v>49.300000000000011</v>
      </c>
      <c r="M293" s="38"/>
      <c r="N293" s="38"/>
      <c r="O293" s="38"/>
      <c r="P293" s="38"/>
      <c r="Q293" s="39">
        <f t="shared" si="75"/>
        <v>241.3</v>
      </c>
      <c r="R293" s="311"/>
      <c r="S293" s="66" t="str">
        <f t="shared" ref="S293:S336" si="90">I293</f>
        <v>LUK</v>
      </c>
      <c r="T293" s="81"/>
      <c r="U293" s="248"/>
      <c r="V293" s="67"/>
      <c r="W293" s="67"/>
    </row>
    <row r="294" spans="1:23" s="68" customFormat="1" ht="49.5" customHeight="1">
      <c r="A294" s="308"/>
      <c r="B294" s="33" t="s">
        <v>431</v>
      </c>
      <c r="C294" s="36">
        <v>106</v>
      </c>
      <c r="D294" s="36">
        <v>5</v>
      </c>
      <c r="E294" s="239">
        <v>132</v>
      </c>
      <c r="F294" s="34">
        <v>289</v>
      </c>
      <c r="G294" s="34">
        <v>28</v>
      </c>
      <c r="H294" s="35">
        <v>157.30000000000001</v>
      </c>
      <c r="I294" s="34" t="s">
        <v>49</v>
      </c>
      <c r="J294" s="36" t="s">
        <v>50</v>
      </c>
      <c r="K294" s="37">
        <f t="shared" ref="K294" si="91">E294</f>
        <v>132</v>
      </c>
      <c r="L294" s="38">
        <f t="shared" ref="L294" si="92">H294-K294</f>
        <v>25.300000000000011</v>
      </c>
      <c r="M294" s="38"/>
      <c r="N294" s="38"/>
      <c r="O294" s="38"/>
      <c r="P294" s="38"/>
      <c r="Q294" s="39">
        <f t="shared" si="75"/>
        <v>157.30000000000001</v>
      </c>
      <c r="R294" s="311"/>
      <c r="S294" s="66" t="str">
        <f t="shared" si="90"/>
        <v>LUK</v>
      </c>
      <c r="T294" s="45"/>
      <c r="U294" s="248"/>
      <c r="V294" s="67"/>
      <c r="W294" s="67"/>
    </row>
    <row r="295" spans="1:23" s="68" customFormat="1" ht="49.5" customHeight="1">
      <c r="A295" s="308"/>
      <c r="B295" s="33" t="s">
        <v>431</v>
      </c>
      <c r="C295" s="36">
        <v>131</v>
      </c>
      <c r="D295" s="36">
        <v>5</v>
      </c>
      <c r="E295" s="239">
        <v>288</v>
      </c>
      <c r="F295" s="34">
        <v>301</v>
      </c>
      <c r="G295" s="34">
        <v>28</v>
      </c>
      <c r="H295" s="35">
        <v>313.89999999999998</v>
      </c>
      <c r="I295" s="34" t="s">
        <v>45</v>
      </c>
      <c r="J295" s="36" t="s">
        <v>198</v>
      </c>
      <c r="K295" s="37">
        <f t="shared" ref="K295" si="93">E295</f>
        <v>288</v>
      </c>
      <c r="L295" s="38">
        <f t="shared" ref="L295" si="94">H295-K295</f>
        <v>25.899999999999977</v>
      </c>
      <c r="M295" s="38"/>
      <c r="N295" s="38"/>
      <c r="O295" s="38"/>
      <c r="P295" s="38"/>
      <c r="Q295" s="39">
        <f t="shared" si="75"/>
        <v>313.89999999999998</v>
      </c>
      <c r="R295" s="311"/>
      <c r="S295" s="66" t="str">
        <f t="shared" si="90"/>
        <v>LUC</v>
      </c>
      <c r="T295" s="45"/>
      <c r="U295" s="248"/>
      <c r="V295" s="67"/>
      <c r="W295" s="67"/>
    </row>
    <row r="296" spans="1:23" s="47" customFormat="1" ht="54" customHeight="1">
      <c r="A296" s="32">
        <v>89</v>
      </c>
      <c r="B296" s="33" t="s">
        <v>434</v>
      </c>
      <c r="C296" s="36">
        <v>212</v>
      </c>
      <c r="D296" s="36">
        <v>4</v>
      </c>
      <c r="E296" s="239">
        <v>144</v>
      </c>
      <c r="F296" s="34" t="s">
        <v>435</v>
      </c>
      <c r="G296" s="34" t="s">
        <v>99</v>
      </c>
      <c r="H296" s="35">
        <v>147.69999999999999</v>
      </c>
      <c r="I296" s="34" t="s">
        <v>49</v>
      </c>
      <c r="J296" s="36" t="s">
        <v>111</v>
      </c>
      <c r="K296" s="37">
        <f t="shared" si="69"/>
        <v>144</v>
      </c>
      <c r="L296" s="38">
        <f t="shared" ref="L296:L305" si="95">H296-K296</f>
        <v>3.6999999999999886</v>
      </c>
      <c r="M296" s="38"/>
      <c r="N296" s="38"/>
      <c r="O296" s="38"/>
      <c r="P296" s="38"/>
      <c r="Q296" s="39">
        <f t="shared" si="75"/>
        <v>147.69999999999999</v>
      </c>
      <c r="R296" s="63">
        <f>Q296</f>
        <v>147.69999999999999</v>
      </c>
      <c r="S296" s="66" t="str">
        <f t="shared" si="90"/>
        <v>LUK</v>
      </c>
      <c r="T296" s="45"/>
      <c r="U296" s="247"/>
      <c r="V296" s="46"/>
      <c r="W296" s="46"/>
    </row>
    <row r="297" spans="1:23" s="68" customFormat="1" ht="54" customHeight="1">
      <c r="A297" s="307">
        <v>90</v>
      </c>
      <c r="B297" s="33" t="s">
        <v>437</v>
      </c>
      <c r="C297" s="36">
        <v>10</v>
      </c>
      <c r="D297" s="36">
        <v>4</v>
      </c>
      <c r="E297" s="239">
        <v>552</v>
      </c>
      <c r="F297" s="34" t="s">
        <v>438</v>
      </c>
      <c r="G297" s="34" t="s">
        <v>96</v>
      </c>
      <c r="H297" s="35">
        <v>628.9</v>
      </c>
      <c r="I297" s="34" t="s">
        <v>45</v>
      </c>
      <c r="J297" s="36" t="s">
        <v>54</v>
      </c>
      <c r="K297" s="37">
        <f t="shared" si="69"/>
        <v>552</v>
      </c>
      <c r="L297" s="38">
        <f t="shared" si="95"/>
        <v>76.899999999999977</v>
      </c>
      <c r="M297" s="38"/>
      <c r="N297" s="38"/>
      <c r="O297" s="38"/>
      <c r="P297" s="38"/>
      <c r="Q297" s="39">
        <f t="shared" si="75"/>
        <v>628.9</v>
      </c>
      <c r="R297" s="310">
        <f>SUM(Q297:Q300)</f>
        <v>1141.3</v>
      </c>
      <c r="S297" s="66" t="str">
        <f t="shared" si="90"/>
        <v>LUC</v>
      </c>
      <c r="T297" s="45"/>
      <c r="U297" s="248"/>
      <c r="V297" s="67"/>
      <c r="W297" s="67"/>
    </row>
    <row r="298" spans="1:23" s="68" customFormat="1" ht="54" customHeight="1">
      <c r="A298" s="308"/>
      <c r="B298" s="33" t="s">
        <v>437</v>
      </c>
      <c r="C298" s="36">
        <v>222</v>
      </c>
      <c r="D298" s="36">
        <v>5</v>
      </c>
      <c r="E298" s="239">
        <v>118</v>
      </c>
      <c r="F298" s="34" t="s">
        <v>439</v>
      </c>
      <c r="G298" s="34" t="s">
        <v>99</v>
      </c>
      <c r="H298" s="35">
        <v>216</v>
      </c>
      <c r="I298" s="34" t="s">
        <v>49</v>
      </c>
      <c r="J298" s="36" t="s">
        <v>242</v>
      </c>
      <c r="K298" s="37">
        <f t="shared" si="69"/>
        <v>118</v>
      </c>
      <c r="L298" s="38">
        <f t="shared" si="95"/>
        <v>98</v>
      </c>
      <c r="M298" s="38"/>
      <c r="N298" s="38"/>
      <c r="O298" s="38"/>
      <c r="P298" s="38"/>
      <c r="Q298" s="39">
        <f t="shared" si="75"/>
        <v>216</v>
      </c>
      <c r="R298" s="311"/>
      <c r="S298" s="66" t="str">
        <f t="shared" si="90"/>
        <v>LUK</v>
      </c>
      <c r="T298" s="45"/>
      <c r="U298" s="248"/>
      <c r="V298" s="67"/>
      <c r="W298" s="67"/>
    </row>
    <row r="299" spans="1:23" s="68" customFormat="1" ht="54" customHeight="1">
      <c r="A299" s="308"/>
      <c r="B299" s="33" t="s">
        <v>437</v>
      </c>
      <c r="C299" s="36">
        <v>223</v>
      </c>
      <c r="D299" s="36">
        <v>5</v>
      </c>
      <c r="E299" s="239">
        <v>108</v>
      </c>
      <c r="F299" s="34" t="s">
        <v>440</v>
      </c>
      <c r="G299" s="34" t="s">
        <v>99</v>
      </c>
      <c r="H299" s="35">
        <v>126.9</v>
      </c>
      <c r="I299" s="34" t="s">
        <v>49</v>
      </c>
      <c r="J299" s="36" t="s">
        <v>242</v>
      </c>
      <c r="K299" s="37">
        <f t="shared" si="69"/>
        <v>108</v>
      </c>
      <c r="L299" s="38">
        <f t="shared" si="95"/>
        <v>18.900000000000006</v>
      </c>
      <c r="M299" s="38"/>
      <c r="N299" s="38"/>
      <c r="O299" s="38"/>
      <c r="P299" s="38"/>
      <c r="Q299" s="39">
        <f t="shared" si="75"/>
        <v>126.9</v>
      </c>
      <c r="R299" s="311"/>
      <c r="S299" s="66" t="str">
        <f t="shared" si="90"/>
        <v>LUK</v>
      </c>
      <c r="T299" s="45"/>
      <c r="U299" s="248"/>
      <c r="V299" s="67"/>
      <c r="W299" s="67"/>
    </row>
    <row r="300" spans="1:23" s="47" customFormat="1" ht="54" customHeight="1">
      <c r="A300" s="308"/>
      <c r="B300" s="33" t="s">
        <v>437</v>
      </c>
      <c r="C300" s="36">
        <v>223</v>
      </c>
      <c r="D300" s="36">
        <v>5</v>
      </c>
      <c r="E300" s="239">
        <v>168</v>
      </c>
      <c r="F300" s="34">
        <v>78</v>
      </c>
      <c r="G300" s="34">
        <v>28</v>
      </c>
      <c r="H300" s="35">
        <v>169.5</v>
      </c>
      <c r="I300" s="34" t="s">
        <v>49</v>
      </c>
      <c r="J300" s="36" t="s">
        <v>50</v>
      </c>
      <c r="K300" s="37">
        <f>E300</f>
        <v>168</v>
      </c>
      <c r="L300" s="38">
        <f>H300-K300</f>
        <v>1.5</v>
      </c>
      <c r="M300" s="38"/>
      <c r="N300" s="38"/>
      <c r="O300" s="38"/>
      <c r="P300" s="38"/>
      <c r="Q300" s="39">
        <f t="shared" si="75"/>
        <v>169.5</v>
      </c>
      <c r="R300" s="311"/>
      <c r="S300" s="66" t="str">
        <f t="shared" si="90"/>
        <v>LUK</v>
      </c>
      <c r="T300" s="45"/>
      <c r="U300" s="247"/>
      <c r="V300" s="46"/>
      <c r="W300" s="46"/>
    </row>
    <row r="301" spans="1:23" s="68" customFormat="1" ht="54" customHeight="1">
      <c r="A301" s="307">
        <v>91</v>
      </c>
      <c r="B301" s="33" t="s">
        <v>443</v>
      </c>
      <c r="C301" s="36">
        <v>185</v>
      </c>
      <c r="D301" s="36">
        <v>5</v>
      </c>
      <c r="E301" s="239">
        <v>168</v>
      </c>
      <c r="F301" s="34" t="s">
        <v>444</v>
      </c>
      <c r="G301" s="34" t="s">
        <v>99</v>
      </c>
      <c r="H301" s="35">
        <v>191.8</v>
      </c>
      <c r="I301" s="34" t="s">
        <v>49</v>
      </c>
      <c r="J301" s="36" t="s">
        <v>111</v>
      </c>
      <c r="K301" s="37">
        <f t="shared" ref="K301" si="96">E301</f>
        <v>168</v>
      </c>
      <c r="L301" s="38">
        <f t="shared" ref="L301" si="97">H301-K301</f>
        <v>23.800000000000011</v>
      </c>
      <c r="M301" s="38"/>
      <c r="N301" s="38"/>
      <c r="O301" s="38"/>
      <c r="P301" s="38"/>
      <c r="Q301" s="39">
        <f t="shared" si="75"/>
        <v>191.8</v>
      </c>
      <c r="R301" s="310">
        <f>SUM(Q301:Q303)</f>
        <v>380.4</v>
      </c>
      <c r="S301" s="66" t="str">
        <f t="shared" si="90"/>
        <v>LUK</v>
      </c>
      <c r="T301" s="45"/>
      <c r="U301" s="248"/>
      <c r="V301" s="67"/>
      <c r="W301" s="67"/>
    </row>
    <row r="302" spans="1:23" s="68" customFormat="1" ht="54" customHeight="1">
      <c r="A302" s="308"/>
      <c r="B302" s="33" t="s">
        <v>443</v>
      </c>
      <c r="C302" s="36">
        <v>7</v>
      </c>
      <c r="D302" s="36">
        <v>4</v>
      </c>
      <c r="E302" s="239">
        <v>120</v>
      </c>
      <c r="F302" s="34" t="s">
        <v>446</v>
      </c>
      <c r="G302" s="34" t="s">
        <v>99</v>
      </c>
      <c r="H302" s="35">
        <v>117.7</v>
      </c>
      <c r="I302" s="34" t="s">
        <v>49</v>
      </c>
      <c r="J302" s="36" t="s">
        <v>242</v>
      </c>
      <c r="K302" s="37">
        <v>117.7</v>
      </c>
      <c r="L302" s="38">
        <f t="shared" ref="L302" si="98">H302-K302</f>
        <v>0</v>
      </c>
      <c r="M302" s="38"/>
      <c r="N302" s="38"/>
      <c r="O302" s="38"/>
      <c r="P302" s="38"/>
      <c r="Q302" s="39">
        <f t="shared" ref="Q302" si="99">K302+L302+N302+O302+M302</f>
        <v>117.7</v>
      </c>
      <c r="R302" s="311"/>
      <c r="S302" s="66" t="str">
        <f t="shared" si="90"/>
        <v>LUK</v>
      </c>
      <c r="T302" s="45"/>
      <c r="U302" s="248"/>
      <c r="V302" s="67"/>
      <c r="W302" s="67"/>
    </row>
    <row r="303" spans="1:23" s="68" customFormat="1" ht="54" customHeight="1">
      <c r="A303" s="309"/>
      <c r="B303" s="33" t="s">
        <v>443</v>
      </c>
      <c r="C303" s="36"/>
      <c r="D303" s="36"/>
      <c r="E303" s="239"/>
      <c r="F303" s="34">
        <v>124</v>
      </c>
      <c r="G303" s="34" t="s">
        <v>99</v>
      </c>
      <c r="H303" s="35">
        <v>261.89999999999998</v>
      </c>
      <c r="I303" s="34" t="s">
        <v>55</v>
      </c>
      <c r="J303" s="36" t="s">
        <v>63</v>
      </c>
      <c r="K303" s="37"/>
      <c r="L303" s="38">
        <v>70.900000000000006</v>
      </c>
      <c r="M303" s="38"/>
      <c r="N303" s="38"/>
      <c r="O303" s="38"/>
      <c r="P303" s="38"/>
      <c r="Q303" s="39">
        <f t="shared" ref="Q303:Q327" si="100">K303+L303+N303+O303+M303</f>
        <v>70.900000000000006</v>
      </c>
      <c r="R303" s="312"/>
      <c r="S303" s="66" t="str">
        <f t="shared" si="90"/>
        <v>BHK</v>
      </c>
      <c r="T303" s="45"/>
      <c r="U303" s="248"/>
      <c r="V303" s="67"/>
      <c r="W303" s="67"/>
    </row>
    <row r="304" spans="1:23" s="68" customFormat="1" ht="49.5" customHeight="1">
      <c r="A304" s="307">
        <v>92</v>
      </c>
      <c r="B304" s="33" t="s">
        <v>447</v>
      </c>
      <c r="C304" s="36"/>
      <c r="D304" s="36"/>
      <c r="E304" s="239"/>
      <c r="F304" s="34" t="s">
        <v>448</v>
      </c>
      <c r="G304" s="34" t="s">
        <v>99</v>
      </c>
      <c r="H304" s="35">
        <v>432.9</v>
      </c>
      <c r="I304" s="34" t="s">
        <v>45</v>
      </c>
      <c r="J304" s="36" t="s">
        <v>46</v>
      </c>
      <c r="K304" s="37"/>
      <c r="L304" s="38">
        <v>432.9</v>
      </c>
      <c r="M304" s="38"/>
      <c r="N304" s="38"/>
      <c r="O304" s="38"/>
      <c r="P304" s="38"/>
      <c r="Q304" s="39">
        <f t="shared" si="100"/>
        <v>432.9</v>
      </c>
      <c r="R304" s="310">
        <f>SUM(Q304:Q306)</f>
        <v>980.3</v>
      </c>
      <c r="S304" s="66" t="str">
        <f t="shared" si="90"/>
        <v>LUC</v>
      </c>
      <c r="T304" s="81"/>
      <c r="U304" s="248"/>
      <c r="V304" s="67"/>
      <c r="W304" s="67"/>
    </row>
    <row r="305" spans="1:24" s="68" customFormat="1" ht="49.5" customHeight="1">
      <c r="A305" s="308"/>
      <c r="B305" s="33" t="s">
        <v>447</v>
      </c>
      <c r="C305" s="36">
        <v>10</v>
      </c>
      <c r="D305" s="36">
        <v>4</v>
      </c>
      <c r="E305" s="239">
        <v>480</v>
      </c>
      <c r="F305" s="34" t="s">
        <v>449</v>
      </c>
      <c r="G305" s="34" t="s">
        <v>96</v>
      </c>
      <c r="H305" s="35">
        <v>534.1</v>
      </c>
      <c r="I305" s="34" t="s">
        <v>45</v>
      </c>
      <c r="J305" s="36" t="s">
        <v>54</v>
      </c>
      <c r="K305" s="37">
        <f t="shared" si="69"/>
        <v>480</v>
      </c>
      <c r="L305" s="38">
        <f t="shared" si="95"/>
        <v>54.100000000000023</v>
      </c>
      <c r="M305" s="38"/>
      <c r="N305" s="38"/>
      <c r="O305" s="38"/>
      <c r="P305" s="38"/>
      <c r="Q305" s="39">
        <f t="shared" si="100"/>
        <v>534.1</v>
      </c>
      <c r="R305" s="311"/>
      <c r="S305" s="66" t="str">
        <f t="shared" si="90"/>
        <v>LUC</v>
      </c>
      <c r="T305" s="45"/>
      <c r="U305" s="248"/>
      <c r="V305" s="67"/>
      <c r="W305" s="67"/>
    </row>
    <row r="306" spans="1:24" s="68" customFormat="1" ht="49.5" customHeight="1">
      <c r="A306" s="309"/>
      <c r="B306" s="33" t="s">
        <v>447</v>
      </c>
      <c r="C306" s="36">
        <v>182</v>
      </c>
      <c r="D306" s="36">
        <v>5</v>
      </c>
      <c r="E306" s="239">
        <v>288</v>
      </c>
      <c r="F306" s="34" t="s">
        <v>450</v>
      </c>
      <c r="G306" s="34" t="s">
        <v>99</v>
      </c>
      <c r="H306" s="35">
        <v>337.7</v>
      </c>
      <c r="I306" s="34" t="s">
        <v>49</v>
      </c>
      <c r="J306" s="36" t="s">
        <v>410</v>
      </c>
      <c r="K306" s="37">
        <v>13.3</v>
      </c>
      <c r="L306" s="38"/>
      <c r="M306" s="38"/>
      <c r="N306" s="38"/>
      <c r="O306" s="38"/>
      <c r="P306" s="38"/>
      <c r="Q306" s="39">
        <f t="shared" si="100"/>
        <v>13.3</v>
      </c>
      <c r="R306" s="312"/>
      <c r="S306" s="66" t="str">
        <f t="shared" si="90"/>
        <v>LUK</v>
      </c>
      <c r="T306" s="45"/>
      <c r="U306" s="248"/>
      <c r="V306" s="67"/>
      <c r="W306" s="67"/>
    </row>
    <row r="307" spans="1:24" s="68" customFormat="1" ht="49.5" customHeight="1">
      <c r="A307" s="307">
        <v>93</v>
      </c>
      <c r="B307" s="33" t="s">
        <v>452</v>
      </c>
      <c r="C307" s="36"/>
      <c r="D307" s="36"/>
      <c r="E307" s="239"/>
      <c r="F307" s="34">
        <v>201</v>
      </c>
      <c r="G307" s="34">
        <v>28</v>
      </c>
      <c r="H307" s="35">
        <v>334.6</v>
      </c>
      <c r="I307" s="34" t="s">
        <v>45</v>
      </c>
      <c r="J307" s="36" t="s">
        <v>46</v>
      </c>
      <c r="K307" s="37"/>
      <c r="L307" s="38">
        <v>334.6</v>
      </c>
      <c r="M307" s="38"/>
      <c r="N307" s="38"/>
      <c r="O307" s="38"/>
      <c r="P307" s="38"/>
      <c r="Q307" s="39">
        <f t="shared" si="100"/>
        <v>334.6</v>
      </c>
      <c r="R307" s="310">
        <f>SUM(Q307:Q309)</f>
        <v>601.90000000000009</v>
      </c>
      <c r="S307" s="66" t="str">
        <f t="shared" si="90"/>
        <v>LUC</v>
      </c>
      <c r="T307" s="81"/>
      <c r="U307" s="319"/>
      <c r="V307" s="67"/>
      <c r="W307" s="67"/>
      <c r="X307" s="67"/>
    </row>
    <row r="308" spans="1:24" s="68" customFormat="1" ht="49.5" customHeight="1">
      <c r="A308" s="308"/>
      <c r="B308" s="33" t="s">
        <v>452</v>
      </c>
      <c r="C308" s="36">
        <v>117</v>
      </c>
      <c r="D308" s="36">
        <v>4</v>
      </c>
      <c r="E308" s="239">
        <v>168</v>
      </c>
      <c r="F308" s="34">
        <v>389</v>
      </c>
      <c r="G308" s="34">
        <v>28</v>
      </c>
      <c r="H308" s="35">
        <v>183.1</v>
      </c>
      <c r="I308" s="34" t="s">
        <v>49</v>
      </c>
      <c r="J308" s="36" t="s">
        <v>57</v>
      </c>
      <c r="K308" s="37">
        <f t="shared" ref="K308" si="101">E308</f>
        <v>168</v>
      </c>
      <c r="L308" s="38">
        <f>H308-E308</f>
        <v>15.099999999999994</v>
      </c>
      <c r="M308" s="38"/>
      <c r="N308" s="38"/>
      <c r="O308" s="38"/>
      <c r="P308" s="38"/>
      <c r="Q308" s="39">
        <f t="shared" si="100"/>
        <v>183.1</v>
      </c>
      <c r="R308" s="311"/>
      <c r="S308" s="66" t="str">
        <f t="shared" si="90"/>
        <v>LUK</v>
      </c>
      <c r="T308" s="45"/>
      <c r="U308" s="318"/>
      <c r="V308" s="67"/>
      <c r="W308" s="67"/>
      <c r="X308" s="67"/>
    </row>
    <row r="309" spans="1:24" s="68" customFormat="1" ht="49.5" customHeight="1">
      <c r="A309" s="308"/>
      <c r="B309" s="33" t="s">
        <v>452</v>
      </c>
      <c r="C309" s="36"/>
      <c r="D309" s="36"/>
      <c r="E309" s="239"/>
      <c r="F309" s="34">
        <v>861</v>
      </c>
      <c r="G309" s="34">
        <v>28</v>
      </c>
      <c r="H309" s="35">
        <v>84.2</v>
      </c>
      <c r="I309" s="34" t="s">
        <v>55</v>
      </c>
      <c r="J309" s="36" t="s">
        <v>60</v>
      </c>
      <c r="K309" s="37"/>
      <c r="L309" s="38">
        <f>H309-E309</f>
        <v>84.2</v>
      </c>
      <c r="M309" s="38"/>
      <c r="N309" s="38"/>
      <c r="O309" s="38"/>
      <c r="P309" s="38"/>
      <c r="Q309" s="39">
        <f t="shared" si="100"/>
        <v>84.2</v>
      </c>
      <c r="R309" s="311"/>
      <c r="S309" s="66" t="str">
        <f t="shared" si="90"/>
        <v>BHK</v>
      </c>
      <c r="T309" s="45"/>
      <c r="U309" s="318"/>
      <c r="V309" s="67"/>
      <c r="W309" s="67"/>
      <c r="X309" s="67"/>
    </row>
    <row r="310" spans="1:24" s="47" customFormat="1" ht="57" customHeight="1">
      <c r="A310" s="151">
        <v>94</v>
      </c>
      <c r="B310" s="33" t="s">
        <v>455</v>
      </c>
      <c r="C310" s="36">
        <v>199</v>
      </c>
      <c r="D310" s="36">
        <v>5</v>
      </c>
      <c r="E310" s="239">
        <v>96</v>
      </c>
      <c r="F310" s="34">
        <v>131</v>
      </c>
      <c r="G310" s="34">
        <v>28</v>
      </c>
      <c r="H310" s="35">
        <v>151.30000000000001</v>
      </c>
      <c r="I310" s="34" t="s">
        <v>49</v>
      </c>
      <c r="J310" s="36" t="s">
        <v>50</v>
      </c>
      <c r="K310" s="37">
        <f t="shared" ref="K310:K315" si="102">E310</f>
        <v>96</v>
      </c>
      <c r="L310" s="38">
        <f>151.3-96</f>
        <v>55.300000000000011</v>
      </c>
      <c r="M310" s="38"/>
      <c r="N310" s="38"/>
      <c r="O310" s="38"/>
      <c r="P310" s="38"/>
      <c r="Q310" s="39">
        <f t="shared" si="100"/>
        <v>151.30000000000001</v>
      </c>
      <c r="R310" s="59">
        <f>Q310</f>
        <v>151.30000000000001</v>
      </c>
      <c r="S310" s="66" t="str">
        <f t="shared" si="90"/>
        <v>LUK</v>
      </c>
      <c r="T310" s="50"/>
      <c r="U310" s="251"/>
      <c r="V310" s="46"/>
      <c r="W310" s="46"/>
      <c r="X310" s="46"/>
    </row>
    <row r="311" spans="1:24" s="47" customFormat="1" ht="57" customHeight="1">
      <c r="A311" s="151">
        <v>95</v>
      </c>
      <c r="B311" s="33" t="s">
        <v>457</v>
      </c>
      <c r="C311" s="36">
        <v>144</v>
      </c>
      <c r="D311" s="36">
        <v>4</v>
      </c>
      <c r="E311" s="239">
        <v>162</v>
      </c>
      <c r="F311" s="34">
        <v>470</v>
      </c>
      <c r="G311" s="34">
        <v>28</v>
      </c>
      <c r="H311" s="35">
        <v>157.69999999999999</v>
      </c>
      <c r="I311" s="34" t="s">
        <v>49</v>
      </c>
      <c r="J311" s="36" t="s">
        <v>57</v>
      </c>
      <c r="K311" s="37">
        <v>157.69999999999999</v>
      </c>
      <c r="L311" s="38"/>
      <c r="M311" s="38"/>
      <c r="N311" s="38"/>
      <c r="O311" s="38"/>
      <c r="P311" s="38"/>
      <c r="Q311" s="39">
        <f t="shared" si="100"/>
        <v>157.69999999999999</v>
      </c>
      <c r="R311" s="59">
        <f>Q311</f>
        <v>157.69999999999999</v>
      </c>
      <c r="S311" s="66" t="str">
        <f t="shared" si="90"/>
        <v>LUK</v>
      </c>
      <c r="T311" s="45"/>
      <c r="U311" s="196"/>
      <c r="V311" s="46"/>
      <c r="W311" s="46"/>
      <c r="X311" s="46"/>
    </row>
    <row r="312" spans="1:24" s="47" customFormat="1" ht="57" customHeight="1">
      <c r="A312" s="307">
        <v>96</v>
      </c>
      <c r="B312" s="33" t="s">
        <v>460</v>
      </c>
      <c r="C312" s="36">
        <v>204</v>
      </c>
      <c r="D312" s="36">
        <v>5</v>
      </c>
      <c r="E312" s="239">
        <v>360</v>
      </c>
      <c r="F312" s="34">
        <v>77</v>
      </c>
      <c r="G312" s="34" t="s">
        <v>99</v>
      </c>
      <c r="H312" s="35">
        <v>442.5</v>
      </c>
      <c r="I312" s="34" t="s">
        <v>49</v>
      </c>
      <c r="J312" s="36" t="s">
        <v>461</v>
      </c>
      <c r="K312" s="37">
        <f t="shared" si="102"/>
        <v>360</v>
      </c>
      <c r="L312" s="38">
        <f>H312-K312</f>
        <v>82.5</v>
      </c>
      <c r="M312" s="38"/>
      <c r="N312" s="38"/>
      <c r="O312" s="38"/>
      <c r="P312" s="38"/>
      <c r="Q312" s="39">
        <f t="shared" si="100"/>
        <v>442.5</v>
      </c>
      <c r="R312" s="310">
        <f>SUM(Q312:Q314)</f>
        <v>1010.5</v>
      </c>
      <c r="S312" s="66" t="str">
        <f t="shared" si="90"/>
        <v>LUK</v>
      </c>
      <c r="T312" s="45"/>
      <c r="U312" s="318"/>
      <c r="V312" s="46"/>
      <c r="W312" s="46"/>
      <c r="X312" s="46"/>
    </row>
    <row r="313" spans="1:24" s="47" customFormat="1" ht="57" customHeight="1">
      <c r="A313" s="308"/>
      <c r="B313" s="33" t="s">
        <v>460</v>
      </c>
      <c r="C313" s="36"/>
      <c r="D313" s="36"/>
      <c r="E313" s="239"/>
      <c r="F313" s="34">
        <v>31</v>
      </c>
      <c r="G313" s="34" t="s">
        <v>99</v>
      </c>
      <c r="H313" s="35" t="s">
        <v>462</v>
      </c>
      <c r="I313" s="34" t="s">
        <v>45</v>
      </c>
      <c r="J313" s="36" t="s">
        <v>56</v>
      </c>
      <c r="K313" s="37"/>
      <c r="L313" s="38">
        <v>209.1</v>
      </c>
      <c r="M313" s="38"/>
      <c r="N313" s="38"/>
      <c r="O313" s="38"/>
      <c r="P313" s="38"/>
      <c r="Q313" s="39">
        <f t="shared" si="100"/>
        <v>209.1</v>
      </c>
      <c r="R313" s="311"/>
      <c r="S313" s="66" t="str">
        <f t="shared" si="90"/>
        <v>LUC</v>
      </c>
      <c r="T313" s="45"/>
      <c r="U313" s="318"/>
      <c r="V313" s="46"/>
      <c r="W313" s="46"/>
      <c r="X313" s="46"/>
    </row>
    <row r="314" spans="1:24" s="47" customFormat="1" ht="57" customHeight="1">
      <c r="A314" s="309"/>
      <c r="B314" s="33" t="s">
        <v>460</v>
      </c>
      <c r="C314" s="36"/>
      <c r="D314" s="36"/>
      <c r="E314" s="239"/>
      <c r="F314" s="34">
        <v>146</v>
      </c>
      <c r="G314" s="34" t="s">
        <v>99</v>
      </c>
      <c r="H314" s="35" t="s">
        <v>464</v>
      </c>
      <c r="I314" s="34" t="s">
        <v>45</v>
      </c>
      <c r="J314" s="36" t="s">
        <v>60</v>
      </c>
      <c r="K314" s="37"/>
      <c r="L314" s="38">
        <v>358.9</v>
      </c>
      <c r="M314" s="38"/>
      <c r="N314" s="38"/>
      <c r="O314" s="38"/>
      <c r="P314" s="38"/>
      <c r="Q314" s="39">
        <f t="shared" si="100"/>
        <v>358.9</v>
      </c>
      <c r="R314" s="312"/>
      <c r="S314" s="66" t="str">
        <f t="shared" si="90"/>
        <v>LUC</v>
      </c>
      <c r="T314" s="45"/>
      <c r="U314" s="318"/>
      <c r="V314" s="46"/>
      <c r="W314" s="46"/>
      <c r="X314" s="46"/>
    </row>
    <row r="315" spans="1:24" s="47" customFormat="1" ht="59.25" customHeight="1">
      <c r="A315" s="32">
        <v>97</v>
      </c>
      <c r="B315" s="33" t="s">
        <v>465</v>
      </c>
      <c r="C315" s="36">
        <v>16</v>
      </c>
      <c r="D315" s="36">
        <v>4</v>
      </c>
      <c r="E315" s="239">
        <v>360</v>
      </c>
      <c r="F315" s="34">
        <v>449</v>
      </c>
      <c r="G315" s="34">
        <v>28</v>
      </c>
      <c r="H315" s="156">
        <v>427.4</v>
      </c>
      <c r="I315" s="89" t="s">
        <v>49</v>
      </c>
      <c r="J315" s="36" t="s">
        <v>57</v>
      </c>
      <c r="K315" s="37">
        <f t="shared" si="102"/>
        <v>360</v>
      </c>
      <c r="L315" s="38">
        <f>H315-K315</f>
        <v>67.399999999999977</v>
      </c>
      <c r="M315" s="38"/>
      <c r="N315" s="38"/>
      <c r="O315" s="38"/>
      <c r="P315" s="38"/>
      <c r="Q315" s="39">
        <f t="shared" si="100"/>
        <v>427.4</v>
      </c>
      <c r="R315" s="63">
        <f>Q315</f>
        <v>427.4</v>
      </c>
      <c r="S315" s="66" t="str">
        <f t="shared" si="90"/>
        <v>LUK</v>
      </c>
      <c r="T315" s="45"/>
      <c r="U315" s="252"/>
      <c r="V315" s="46"/>
      <c r="W315" s="46"/>
      <c r="X315" s="46"/>
    </row>
    <row r="316" spans="1:24" s="47" customFormat="1" ht="49.5" customHeight="1">
      <c r="A316" s="307">
        <v>98</v>
      </c>
      <c r="B316" s="33" t="s">
        <v>466</v>
      </c>
      <c r="C316" s="36"/>
      <c r="D316" s="36"/>
      <c r="E316" s="239"/>
      <c r="F316" s="34" t="s">
        <v>467</v>
      </c>
      <c r="G316" s="34">
        <v>28</v>
      </c>
      <c r="H316" s="35">
        <v>87.3</v>
      </c>
      <c r="I316" s="34" t="s">
        <v>45</v>
      </c>
      <c r="J316" s="36" t="s">
        <v>50</v>
      </c>
      <c r="K316" s="37"/>
      <c r="L316" s="38">
        <v>87.3</v>
      </c>
      <c r="M316" s="38"/>
      <c r="N316" s="38"/>
      <c r="O316" s="38"/>
      <c r="P316" s="38"/>
      <c r="Q316" s="39">
        <f t="shared" si="100"/>
        <v>87.3</v>
      </c>
      <c r="R316" s="310">
        <f>SUM(Q316:Q317)</f>
        <v>191</v>
      </c>
      <c r="S316" s="66" t="str">
        <f t="shared" si="90"/>
        <v>LUC</v>
      </c>
      <c r="T316" s="45"/>
      <c r="U316" s="319"/>
      <c r="V316" s="46"/>
      <c r="W316" s="46"/>
      <c r="X316" s="46"/>
    </row>
    <row r="317" spans="1:24" s="47" customFormat="1" ht="49.5" customHeight="1">
      <c r="A317" s="308"/>
      <c r="B317" s="33" t="s">
        <v>466</v>
      </c>
      <c r="C317" s="36">
        <v>128</v>
      </c>
      <c r="D317" s="36">
        <v>5</v>
      </c>
      <c r="E317" s="239">
        <v>108</v>
      </c>
      <c r="F317" s="34" t="s">
        <v>469</v>
      </c>
      <c r="G317" s="34">
        <v>28</v>
      </c>
      <c r="H317" s="35">
        <v>103.7</v>
      </c>
      <c r="I317" s="34" t="s">
        <v>49</v>
      </c>
      <c r="J317" s="36" t="s">
        <v>50</v>
      </c>
      <c r="K317" s="37">
        <v>103.7</v>
      </c>
      <c r="L317" s="38"/>
      <c r="M317" s="38"/>
      <c r="N317" s="38"/>
      <c r="O317" s="38"/>
      <c r="P317" s="38"/>
      <c r="Q317" s="39">
        <f t="shared" si="100"/>
        <v>103.7</v>
      </c>
      <c r="R317" s="311"/>
      <c r="S317" s="66" t="str">
        <f t="shared" si="90"/>
        <v>LUK</v>
      </c>
      <c r="T317" s="45"/>
      <c r="U317" s="318"/>
      <c r="V317" s="46"/>
      <c r="W317" s="46"/>
      <c r="X317" s="46"/>
    </row>
    <row r="318" spans="1:24" s="47" customFormat="1" ht="49.5" customHeight="1">
      <c r="A318" s="307">
        <v>99</v>
      </c>
      <c r="B318" s="33" t="s">
        <v>470</v>
      </c>
      <c r="C318" s="36">
        <v>54</v>
      </c>
      <c r="D318" s="36">
        <v>5</v>
      </c>
      <c r="E318" s="239">
        <v>600</v>
      </c>
      <c r="F318" s="34" t="s">
        <v>471</v>
      </c>
      <c r="G318" s="34" t="s">
        <v>96</v>
      </c>
      <c r="H318" s="35">
        <v>642</v>
      </c>
      <c r="I318" s="34" t="s">
        <v>45</v>
      </c>
      <c r="J318" s="36" t="s">
        <v>54</v>
      </c>
      <c r="K318" s="37">
        <f t="shared" ref="K318" si="103">E318</f>
        <v>600</v>
      </c>
      <c r="L318" s="38">
        <f t="shared" ref="L318" si="104">H318-K318</f>
        <v>42</v>
      </c>
      <c r="M318" s="38"/>
      <c r="N318" s="38"/>
      <c r="O318" s="38"/>
      <c r="P318" s="38"/>
      <c r="Q318" s="39">
        <f t="shared" si="100"/>
        <v>642</v>
      </c>
      <c r="R318" s="310">
        <f>SUM(Q318:Q320)</f>
        <v>1175.7</v>
      </c>
      <c r="S318" s="66" t="str">
        <f t="shared" si="90"/>
        <v>LUC</v>
      </c>
      <c r="T318" s="81"/>
      <c r="U318" s="318"/>
      <c r="V318" s="46"/>
      <c r="W318" s="46"/>
      <c r="X318" s="46"/>
    </row>
    <row r="319" spans="1:24" s="47" customFormat="1" ht="49.5" customHeight="1">
      <c r="A319" s="308"/>
      <c r="B319" s="33" t="s">
        <v>470</v>
      </c>
      <c r="C319" s="36">
        <v>108</v>
      </c>
      <c r="D319" s="36">
        <v>5</v>
      </c>
      <c r="E319" s="239">
        <v>120</v>
      </c>
      <c r="F319" s="34" t="s">
        <v>475</v>
      </c>
      <c r="G319" s="34" t="s">
        <v>99</v>
      </c>
      <c r="H319" s="35">
        <v>154.19999999999999</v>
      </c>
      <c r="I319" s="34" t="s">
        <v>49</v>
      </c>
      <c r="J319" s="36" t="s">
        <v>74</v>
      </c>
      <c r="K319" s="37">
        <f t="shared" ref="K319:K320" si="105">E319</f>
        <v>120</v>
      </c>
      <c r="L319" s="38">
        <f t="shared" ref="L319:L320" si="106">H319-K319</f>
        <v>34.199999999999989</v>
      </c>
      <c r="M319" s="38"/>
      <c r="N319" s="38"/>
      <c r="O319" s="38"/>
      <c r="P319" s="38"/>
      <c r="Q319" s="39">
        <f t="shared" si="100"/>
        <v>154.19999999999999</v>
      </c>
      <c r="R319" s="311"/>
      <c r="S319" s="66" t="str">
        <f t="shared" si="90"/>
        <v>LUK</v>
      </c>
      <c r="T319" s="45"/>
      <c r="U319" s="318"/>
      <c r="V319" s="46"/>
      <c r="W319" s="46"/>
      <c r="X319" s="46"/>
    </row>
    <row r="320" spans="1:24" s="47" customFormat="1" ht="49.5" customHeight="1">
      <c r="A320" s="309"/>
      <c r="B320" s="33" t="s">
        <v>470</v>
      </c>
      <c r="C320" s="36">
        <v>79</v>
      </c>
      <c r="D320" s="36">
        <v>4</v>
      </c>
      <c r="E320" s="239">
        <v>312</v>
      </c>
      <c r="F320" s="34" t="s">
        <v>159</v>
      </c>
      <c r="G320" s="34" t="s">
        <v>99</v>
      </c>
      <c r="H320" s="35">
        <v>379.5</v>
      </c>
      <c r="I320" s="34" t="s">
        <v>45</v>
      </c>
      <c r="J320" s="36" t="s">
        <v>46</v>
      </c>
      <c r="K320" s="37">
        <f t="shared" si="105"/>
        <v>312</v>
      </c>
      <c r="L320" s="38">
        <f t="shared" si="106"/>
        <v>67.5</v>
      </c>
      <c r="M320" s="38"/>
      <c r="N320" s="38"/>
      <c r="O320" s="38"/>
      <c r="P320" s="38"/>
      <c r="Q320" s="39">
        <f t="shared" si="100"/>
        <v>379.5</v>
      </c>
      <c r="R320" s="312"/>
      <c r="S320" s="66" t="str">
        <f t="shared" si="90"/>
        <v>LUC</v>
      </c>
      <c r="T320" s="45"/>
      <c r="U320" s="318"/>
      <c r="V320" s="46"/>
      <c r="W320" s="46"/>
      <c r="X320" s="46"/>
    </row>
    <row r="321" spans="1:25" s="47" customFormat="1" ht="49.5" customHeight="1">
      <c r="A321" s="307">
        <v>100</v>
      </c>
      <c r="B321" s="33" t="s">
        <v>477</v>
      </c>
      <c r="C321" s="36">
        <v>78</v>
      </c>
      <c r="D321" s="36">
        <v>4</v>
      </c>
      <c r="E321" s="239">
        <v>72</v>
      </c>
      <c r="F321" s="34" t="s">
        <v>478</v>
      </c>
      <c r="G321" s="34" t="s">
        <v>99</v>
      </c>
      <c r="H321" s="35">
        <v>68.8</v>
      </c>
      <c r="I321" s="34" t="s">
        <v>55</v>
      </c>
      <c r="J321" s="36" t="s">
        <v>56</v>
      </c>
      <c r="K321" s="37">
        <v>68.8</v>
      </c>
      <c r="L321" s="38">
        <f>H321-K321</f>
        <v>0</v>
      </c>
      <c r="M321" s="38"/>
      <c r="N321" s="38"/>
      <c r="O321" s="38"/>
      <c r="P321" s="38"/>
      <c r="Q321" s="39">
        <f t="shared" si="100"/>
        <v>68.8</v>
      </c>
      <c r="R321" s="310">
        <f>SUM(Q321:Q322)</f>
        <v>70.5</v>
      </c>
      <c r="S321" s="66" t="str">
        <f t="shared" si="90"/>
        <v>BHK</v>
      </c>
      <c r="T321" s="45"/>
      <c r="U321" s="319"/>
      <c r="V321" s="46"/>
      <c r="W321" s="46"/>
      <c r="X321" s="46"/>
    </row>
    <row r="322" spans="1:25" s="47" customFormat="1" ht="49.5" customHeight="1">
      <c r="A322" s="309"/>
      <c r="B322" s="33" t="s">
        <v>477</v>
      </c>
      <c r="C322" s="36">
        <v>130</v>
      </c>
      <c r="D322" s="36">
        <v>5</v>
      </c>
      <c r="E322" s="239">
        <v>180</v>
      </c>
      <c r="F322" s="34" t="s">
        <v>481</v>
      </c>
      <c r="G322" s="34" t="s">
        <v>99</v>
      </c>
      <c r="H322" s="35">
        <v>200.2</v>
      </c>
      <c r="I322" s="34" t="s">
        <v>49</v>
      </c>
      <c r="J322" s="36" t="s">
        <v>198</v>
      </c>
      <c r="K322" s="37">
        <v>1.7</v>
      </c>
      <c r="L322" s="38"/>
      <c r="M322" s="38"/>
      <c r="N322" s="38"/>
      <c r="O322" s="38"/>
      <c r="P322" s="38"/>
      <c r="Q322" s="39">
        <f t="shared" si="100"/>
        <v>1.7</v>
      </c>
      <c r="R322" s="312"/>
      <c r="S322" s="66" t="str">
        <f t="shared" si="90"/>
        <v>LUK</v>
      </c>
      <c r="T322" s="45"/>
      <c r="U322" s="318"/>
      <c r="V322" s="46"/>
      <c r="W322" s="46"/>
      <c r="X322" s="46"/>
    </row>
    <row r="323" spans="1:25" s="68" customFormat="1" ht="37.5" customHeight="1">
      <c r="A323" s="307">
        <v>101</v>
      </c>
      <c r="B323" s="33" t="s">
        <v>482</v>
      </c>
      <c r="C323" s="72">
        <v>79</v>
      </c>
      <c r="D323" s="72">
        <v>4</v>
      </c>
      <c r="E323" s="73">
        <v>720</v>
      </c>
      <c r="F323" s="34" t="s">
        <v>483</v>
      </c>
      <c r="G323" s="34" t="s">
        <v>99</v>
      </c>
      <c r="H323" s="35">
        <v>550.5</v>
      </c>
      <c r="I323" s="34" t="s">
        <v>45</v>
      </c>
      <c r="J323" s="36" t="s">
        <v>60</v>
      </c>
      <c r="K323" s="37">
        <v>550.5</v>
      </c>
      <c r="L323" s="38">
        <f t="shared" ref="L323:L335" si="107">H323-K323</f>
        <v>0</v>
      </c>
      <c r="M323" s="38"/>
      <c r="N323" s="38"/>
      <c r="O323" s="38"/>
      <c r="P323" s="38"/>
      <c r="Q323" s="39">
        <f t="shared" si="100"/>
        <v>550.5</v>
      </c>
      <c r="R323" s="310">
        <f>SUM(Q323:Q327)</f>
        <v>1181.8999999999999</v>
      </c>
      <c r="S323" s="66" t="str">
        <f t="shared" si="90"/>
        <v>LUC</v>
      </c>
      <c r="T323" s="45"/>
      <c r="U323" s="319"/>
      <c r="V323" s="67"/>
      <c r="W323" s="67"/>
      <c r="X323" s="67"/>
    </row>
    <row r="324" spans="1:25" s="68" customFormat="1" ht="37.5" customHeight="1">
      <c r="A324" s="308"/>
      <c r="B324" s="33" t="s">
        <v>482</v>
      </c>
      <c r="C324" s="36"/>
      <c r="D324" s="36"/>
      <c r="E324" s="239"/>
      <c r="F324" s="34">
        <v>119</v>
      </c>
      <c r="G324" s="34" t="s">
        <v>99</v>
      </c>
      <c r="H324" s="35">
        <v>554.29999999999995</v>
      </c>
      <c r="I324" s="34" t="s">
        <v>49</v>
      </c>
      <c r="J324" s="36" t="s">
        <v>57</v>
      </c>
      <c r="K324" s="37">
        <f>720-550.5</f>
        <v>169.5</v>
      </c>
      <c r="L324" s="38">
        <f>554.3-356.7-169.5</f>
        <v>28.099999999999966</v>
      </c>
      <c r="M324" s="38"/>
      <c r="N324" s="38"/>
      <c r="O324" s="38"/>
      <c r="P324" s="38"/>
      <c r="Q324" s="39">
        <f t="shared" si="100"/>
        <v>197.59999999999997</v>
      </c>
      <c r="R324" s="311"/>
      <c r="S324" s="66" t="str">
        <f t="shared" si="90"/>
        <v>LUK</v>
      </c>
      <c r="T324" s="45"/>
      <c r="U324" s="318"/>
      <c r="V324" s="67"/>
      <c r="W324" s="67"/>
      <c r="X324" s="67"/>
    </row>
    <row r="325" spans="1:25" s="68" customFormat="1" ht="37.5" customHeight="1">
      <c r="A325" s="308"/>
      <c r="B325" s="33" t="s">
        <v>482</v>
      </c>
      <c r="C325" s="36">
        <v>121</v>
      </c>
      <c r="D325" s="36">
        <v>4</v>
      </c>
      <c r="E325" s="239">
        <v>72</v>
      </c>
      <c r="F325" s="34" t="s">
        <v>484</v>
      </c>
      <c r="G325" s="34" t="s">
        <v>99</v>
      </c>
      <c r="H325" s="35">
        <v>156.1</v>
      </c>
      <c r="I325" s="34" t="s">
        <v>49</v>
      </c>
      <c r="J325" s="36" t="s">
        <v>57</v>
      </c>
      <c r="K325" s="37">
        <f t="shared" ref="K325:K330" si="108">E325</f>
        <v>72</v>
      </c>
      <c r="L325" s="38">
        <f t="shared" si="107"/>
        <v>84.1</v>
      </c>
      <c r="M325" s="38"/>
      <c r="N325" s="38"/>
      <c r="O325" s="38"/>
      <c r="P325" s="38"/>
      <c r="Q325" s="39">
        <f t="shared" si="100"/>
        <v>156.1</v>
      </c>
      <c r="R325" s="311"/>
      <c r="S325" s="66" t="str">
        <f t="shared" si="90"/>
        <v>LUK</v>
      </c>
      <c r="T325" s="45"/>
      <c r="U325" s="318"/>
      <c r="V325" s="67"/>
      <c r="W325" s="67"/>
      <c r="X325" s="67"/>
    </row>
    <row r="326" spans="1:25" s="68" customFormat="1" ht="37.5" customHeight="1">
      <c r="A326" s="308"/>
      <c r="B326" s="33" t="s">
        <v>482</v>
      </c>
      <c r="C326" s="36">
        <v>199</v>
      </c>
      <c r="D326" s="36">
        <v>4</v>
      </c>
      <c r="E326" s="239">
        <v>72</v>
      </c>
      <c r="F326" s="34" t="s">
        <v>485</v>
      </c>
      <c r="G326" s="34" t="s">
        <v>99</v>
      </c>
      <c r="H326" s="35">
        <v>74.8</v>
      </c>
      <c r="I326" s="34" t="s">
        <v>49</v>
      </c>
      <c r="J326" s="36" t="s">
        <v>57</v>
      </c>
      <c r="K326" s="37">
        <f t="shared" si="108"/>
        <v>72</v>
      </c>
      <c r="L326" s="38">
        <f t="shared" si="107"/>
        <v>2.7999999999999972</v>
      </c>
      <c r="M326" s="38"/>
      <c r="N326" s="38"/>
      <c r="O326" s="38"/>
      <c r="P326" s="38"/>
      <c r="Q326" s="39">
        <f t="shared" si="100"/>
        <v>74.8</v>
      </c>
      <c r="R326" s="311"/>
      <c r="S326" s="66" t="str">
        <f t="shared" si="90"/>
        <v>LUK</v>
      </c>
      <c r="T326" s="45"/>
      <c r="U326" s="318"/>
      <c r="V326" s="67"/>
      <c r="W326" s="67"/>
      <c r="X326" s="67"/>
    </row>
    <row r="327" spans="1:25" s="68" customFormat="1" ht="37.5" customHeight="1">
      <c r="A327" s="308"/>
      <c r="B327" s="33" t="s">
        <v>482</v>
      </c>
      <c r="C327" s="36">
        <v>126</v>
      </c>
      <c r="D327" s="36">
        <v>4</v>
      </c>
      <c r="E327" s="239">
        <v>108</v>
      </c>
      <c r="F327" s="34" t="s">
        <v>486</v>
      </c>
      <c r="G327" s="34" t="s">
        <v>99</v>
      </c>
      <c r="H327" s="35">
        <v>202.9</v>
      </c>
      <c r="I327" s="34" t="s">
        <v>49</v>
      </c>
      <c r="J327" s="36" t="s">
        <v>57</v>
      </c>
      <c r="K327" s="37">
        <f t="shared" si="108"/>
        <v>108</v>
      </c>
      <c r="L327" s="38">
        <f t="shared" si="107"/>
        <v>94.9</v>
      </c>
      <c r="M327" s="38"/>
      <c r="N327" s="38"/>
      <c r="O327" s="38"/>
      <c r="P327" s="38"/>
      <c r="Q327" s="39">
        <f t="shared" si="100"/>
        <v>202.9</v>
      </c>
      <c r="R327" s="311"/>
      <c r="S327" s="66" t="str">
        <f t="shared" si="90"/>
        <v>LUK</v>
      </c>
      <c r="T327" s="45"/>
      <c r="U327" s="318"/>
      <c r="V327" s="67"/>
      <c r="W327" s="67"/>
      <c r="X327" s="67"/>
    </row>
    <row r="328" spans="1:25" s="68" customFormat="1" ht="37.5" customHeight="1">
      <c r="A328" s="307">
        <v>102</v>
      </c>
      <c r="B328" s="157" t="s">
        <v>487</v>
      </c>
      <c r="C328" s="36">
        <v>195</v>
      </c>
      <c r="D328" s="36">
        <v>5</v>
      </c>
      <c r="E328" s="239">
        <v>240</v>
      </c>
      <c r="F328" s="95" t="s">
        <v>488</v>
      </c>
      <c r="G328" s="95" t="s">
        <v>99</v>
      </c>
      <c r="H328" s="158">
        <v>156.1</v>
      </c>
      <c r="I328" s="95" t="s">
        <v>49</v>
      </c>
      <c r="J328" s="77" t="s">
        <v>50</v>
      </c>
      <c r="K328" s="37">
        <v>156.1</v>
      </c>
      <c r="L328" s="38">
        <f t="shared" si="107"/>
        <v>0</v>
      </c>
      <c r="M328" s="38"/>
      <c r="N328" s="38"/>
      <c r="O328" s="38"/>
      <c r="P328" s="38"/>
      <c r="Q328" s="39">
        <f t="shared" ref="Q328:Q344" si="109">K328+L328+N328+O328+M328</f>
        <v>156.1</v>
      </c>
      <c r="R328" s="310">
        <f>SUM(Q328:Q333)</f>
        <v>898.8</v>
      </c>
      <c r="S328" s="66" t="str">
        <f t="shared" si="90"/>
        <v>LUK</v>
      </c>
      <c r="T328" s="162"/>
      <c r="U328" s="318"/>
      <c r="V328" s="67"/>
      <c r="W328" s="67"/>
      <c r="X328" s="67"/>
    </row>
    <row r="329" spans="1:25" s="68" customFormat="1" ht="37.5" customHeight="1">
      <c r="A329" s="308"/>
      <c r="B329" s="157" t="s">
        <v>487</v>
      </c>
      <c r="C329" s="77"/>
      <c r="D329" s="77"/>
      <c r="E329" s="78"/>
      <c r="F329" s="95" t="s">
        <v>491</v>
      </c>
      <c r="G329" s="95" t="s">
        <v>99</v>
      </c>
      <c r="H329" s="158">
        <v>175.9</v>
      </c>
      <c r="I329" s="95" t="s">
        <v>49</v>
      </c>
      <c r="J329" s="36" t="s">
        <v>50</v>
      </c>
      <c r="K329" s="37">
        <f>240-156.1</f>
        <v>83.9</v>
      </c>
      <c r="L329" s="38"/>
      <c r="M329" s="38"/>
      <c r="N329" s="38"/>
      <c r="O329" s="38"/>
      <c r="P329" s="38"/>
      <c r="Q329" s="39">
        <f t="shared" si="109"/>
        <v>83.9</v>
      </c>
      <c r="R329" s="311"/>
      <c r="S329" s="66" t="str">
        <f t="shared" si="90"/>
        <v>LUK</v>
      </c>
      <c r="T329" s="162"/>
      <c r="U329" s="318"/>
      <c r="V329" s="67"/>
      <c r="W329" s="67"/>
      <c r="X329" s="67"/>
    </row>
    <row r="330" spans="1:25" s="68" customFormat="1" ht="37.5" customHeight="1">
      <c r="A330" s="308"/>
      <c r="B330" s="157" t="s">
        <v>487</v>
      </c>
      <c r="C330" s="36">
        <v>123</v>
      </c>
      <c r="D330" s="36">
        <v>5</v>
      </c>
      <c r="E330" s="239">
        <v>132</v>
      </c>
      <c r="F330" s="95" t="s">
        <v>493</v>
      </c>
      <c r="G330" s="95" t="s">
        <v>99</v>
      </c>
      <c r="H330" s="158">
        <v>138.9</v>
      </c>
      <c r="I330" s="95" t="s">
        <v>49</v>
      </c>
      <c r="J330" s="36" t="s">
        <v>50</v>
      </c>
      <c r="K330" s="37">
        <f t="shared" si="108"/>
        <v>132</v>
      </c>
      <c r="L330" s="38">
        <f t="shared" si="107"/>
        <v>6.9000000000000057</v>
      </c>
      <c r="M330" s="38"/>
      <c r="N330" s="38"/>
      <c r="O330" s="38"/>
      <c r="P330" s="38"/>
      <c r="Q330" s="39">
        <f t="shared" si="109"/>
        <v>138.9</v>
      </c>
      <c r="R330" s="240"/>
      <c r="S330" s="66" t="str">
        <f t="shared" si="90"/>
        <v>LUK</v>
      </c>
      <c r="T330" s="162"/>
      <c r="U330" s="318"/>
      <c r="V330" s="67"/>
      <c r="W330" s="67"/>
      <c r="X330" s="67"/>
    </row>
    <row r="331" spans="1:25" s="68" customFormat="1" ht="37.5" customHeight="1">
      <c r="A331" s="308"/>
      <c r="B331" s="157" t="s">
        <v>487</v>
      </c>
      <c r="C331" s="72"/>
      <c r="D331" s="72"/>
      <c r="E331" s="73"/>
      <c r="F331" s="95">
        <v>226</v>
      </c>
      <c r="G331" s="95">
        <v>28</v>
      </c>
      <c r="H331" s="158">
        <v>384.2</v>
      </c>
      <c r="I331" s="95" t="s">
        <v>45</v>
      </c>
      <c r="J331" s="36" t="s">
        <v>60</v>
      </c>
      <c r="K331" s="37">
        <f>504-445.4</f>
        <v>58.600000000000023</v>
      </c>
      <c r="L331" s="38">
        <f>74.5-58.6</f>
        <v>15.899999999999999</v>
      </c>
      <c r="M331" s="38"/>
      <c r="N331" s="38"/>
      <c r="O331" s="38"/>
      <c r="P331" s="38"/>
      <c r="Q331" s="39">
        <f t="shared" si="109"/>
        <v>74.500000000000028</v>
      </c>
      <c r="R331" s="240"/>
      <c r="S331" s="66" t="str">
        <f t="shared" si="90"/>
        <v>LUC</v>
      </c>
      <c r="T331" s="162"/>
      <c r="U331" s="318"/>
      <c r="V331" s="67"/>
      <c r="W331" s="67"/>
      <c r="X331" s="67"/>
    </row>
    <row r="332" spans="1:25" s="68" customFormat="1" ht="37.5" customHeight="1">
      <c r="A332" s="308"/>
      <c r="B332" s="157" t="s">
        <v>487</v>
      </c>
      <c r="C332" s="72">
        <v>83</v>
      </c>
      <c r="D332" s="72">
        <v>4</v>
      </c>
      <c r="E332" s="73">
        <v>504</v>
      </c>
      <c r="F332" s="95" t="s">
        <v>494</v>
      </c>
      <c r="G332" s="95" t="s">
        <v>99</v>
      </c>
      <c r="H332" s="158">
        <v>240.9</v>
      </c>
      <c r="I332" s="95" t="s">
        <v>45</v>
      </c>
      <c r="J332" s="36" t="s">
        <v>60</v>
      </c>
      <c r="K332" s="37">
        <v>240.9</v>
      </c>
      <c r="L332" s="38">
        <f t="shared" si="107"/>
        <v>0</v>
      </c>
      <c r="M332" s="38"/>
      <c r="N332" s="38"/>
      <c r="O332" s="38"/>
      <c r="P332" s="38"/>
      <c r="Q332" s="39">
        <f t="shared" si="109"/>
        <v>240.9</v>
      </c>
      <c r="R332" s="240"/>
      <c r="S332" s="66" t="str">
        <f t="shared" si="90"/>
        <v>LUC</v>
      </c>
      <c r="T332" s="162"/>
      <c r="U332" s="318"/>
      <c r="V332" s="67"/>
      <c r="W332" s="67"/>
      <c r="X332" s="67"/>
    </row>
    <row r="333" spans="1:25" s="68" customFormat="1" ht="37.5" customHeight="1">
      <c r="A333" s="309"/>
      <c r="B333" s="157" t="s">
        <v>487</v>
      </c>
      <c r="C333" s="77"/>
      <c r="D333" s="77"/>
      <c r="E333" s="78"/>
      <c r="F333" s="95" t="s">
        <v>495</v>
      </c>
      <c r="G333" s="95">
        <v>28</v>
      </c>
      <c r="H333" s="158">
        <v>240.2</v>
      </c>
      <c r="I333" s="95" t="s">
        <v>45</v>
      </c>
      <c r="J333" s="36" t="s">
        <v>57</v>
      </c>
      <c r="K333" s="37">
        <v>204.5</v>
      </c>
      <c r="L333" s="38"/>
      <c r="M333" s="38"/>
      <c r="N333" s="38"/>
      <c r="O333" s="38"/>
      <c r="P333" s="38"/>
      <c r="Q333" s="39">
        <f t="shared" si="109"/>
        <v>204.5</v>
      </c>
      <c r="R333" s="94"/>
      <c r="S333" s="66" t="str">
        <f t="shared" si="90"/>
        <v>LUC</v>
      </c>
      <c r="T333" s="162"/>
      <c r="U333" s="318"/>
      <c r="V333" s="67"/>
      <c r="W333" s="67"/>
      <c r="X333" s="67"/>
      <c r="Y333" s="163" t="e">
        <f>SUM(#REF!)</f>
        <v>#REF!</v>
      </c>
    </row>
    <row r="334" spans="1:25" s="68" customFormat="1" ht="49.5" customHeight="1">
      <c r="A334" s="307">
        <v>103</v>
      </c>
      <c r="B334" s="33" t="s">
        <v>496</v>
      </c>
      <c r="C334" s="36"/>
      <c r="D334" s="36"/>
      <c r="E334" s="239"/>
      <c r="F334" s="95" t="s">
        <v>491</v>
      </c>
      <c r="G334" s="95" t="s">
        <v>99</v>
      </c>
      <c r="H334" s="158">
        <v>175.9</v>
      </c>
      <c r="I334" s="95" t="s">
        <v>49</v>
      </c>
      <c r="J334" s="36" t="s">
        <v>50</v>
      </c>
      <c r="K334" s="37"/>
      <c r="L334" s="38">
        <v>92</v>
      </c>
      <c r="M334" s="38"/>
      <c r="N334" s="38"/>
      <c r="O334" s="38"/>
      <c r="P334" s="38"/>
      <c r="Q334" s="39">
        <f t="shared" si="109"/>
        <v>92</v>
      </c>
      <c r="R334" s="310">
        <f>SUM(Q334:Q340)</f>
        <v>1453.1000000000001</v>
      </c>
      <c r="S334" s="66" t="str">
        <f t="shared" si="90"/>
        <v>LUK</v>
      </c>
      <c r="T334" s="45"/>
      <c r="U334" s="195"/>
      <c r="V334" s="67"/>
      <c r="W334" s="67"/>
      <c r="X334" s="67"/>
    </row>
    <row r="335" spans="1:25" s="68" customFormat="1" ht="49.5" customHeight="1">
      <c r="A335" s="308"/>
      <c r="B335" s="33" t="s">
        <v>496</v>
      </c>
      <c r="C335" s="36"/>
      <c r="D335" s="36"/>
      <c r="E335" s="239"/>
      <c r="F335" s="34" t="s">
        <v>498</v>
      </c>
      <c r="G335" s="34" t="s">
        <v>99</v>
      </c>
      <c r="H335" s="35">
        <v>180.5</v>
      </c>
      <c r="I335" s="34" t="s">
        <v>45</v>
      </c>
      <c r="J335" s="36" t="s">
        <v>60</v>
      </c>
      <c r="K335" s="37"/>
      <c r="L335" s="38">
        <f t="shared" si="107"/>
        <v>180.5</v>
      </c>
      <c r="M335" s="38"/>
      <c r="N335" s="38"/>
      <c r="O335" s="38"/>
      <c r="P335" s="38"/>
      <c r="Q335" s="39">
        <f t="shared" si="109"/>
        <v>180.5</v>
      </c>
      <c r="R335" s="311"/>
      <c r="S335" s="66" t="str">
        <f t="shared" si="90"/>
        <v>LUC</v>
      </c>
      <c r="T335" s="45"/>
      <c r="U335" s="319"/>
      <c r="V335" s="67"/>
      <c r="W335" s="67"/>
      <c r="X335" s="67"/>
    </row>
    <row r="336" spans="1:25" s="68" customFormat="1" ht="49.5" customHeight="1">
      <c r="A336" s="308"/>
      <c r="B336" s="33" t="s">
        <v>496</v>
      </c>
      <c r="C336" s="36">
        <v>98</v>
      </c>
      <c r="D336" s="36">
        <v>5</v>
      </c>
      <c r="E336" s="239">
        <v>360</v>
      </c>
      <c r="F336" s="34" t="s">
        <v>500</v>
      </c>
      <c r="G336" s="34" t="s">
        <v>99</v>
      </c>
      <c r="H336" s="35">
        <v>424</v>
      </c>
      <c r="I336" s="34" t="s">
        <v>45</v>
      </c>
      <c r="J336" s="36" t="s">
        <v>46</v>
      </c>
      <c r="K336" s="37">
        <v>360</v>
      </c>
      <c r="L336" s="38">
        <f>424-22.8-360</f>
        <v>41.199999999999989</v>
      </c>
      <c r="M336" s="38"/>
      <c r="N336" s="38"/>
      <c r="O336" s="38"/>
      <c r="P336" s="38"/>
      <c r="Q336" s="39">
        <f t="shared" si="109"/>
        <v>401.2</v>
      </c>
      <c r="R336" s="311"/>
      <c r="S336" s="66" t="str">
        <f t="shared" si="90"/>
        <v>LUC</v>
      </c>
      <c r="T336" s="45"/>
      <c r="U336" s="318"/>
      <c r="V336" s="67"/>
      <c r="W336" s="67"/>
      <c r="X336" s="67"/>
    </row>
    <row r="337" spans="1:24" s="68" customFormat="1" ht="49.5" customHeight="1">
      <c r="A337" s="308"/>
      <c r="B337" s="33" t="s">
        <v>496</v>
      </c>
      <c r="C337" s="36"/>
      <c r="D337" s="36"/>
      <c r="E337" s="239"/>
      <c r="F337" s="34" t="s">
        <v>501</v>
      </c>
      <c r="G337" s="34" t="s">
        <v>99</v>
      </c>
      <c r="H337" s="35">
        <v>229.4</v>
      </c>
      <c r="I337" s="34" t="s">
        <v>49</v>
      </c>
      <c r="J337" s="36" t="s">
        <v>50</v>
      </c>
      <c r="K337" s="37"/>
      <c r="L337" s="38"/>
      <c r="M337" s="38">
        <v>229.4</v>
      </c>
      <c r="N337" s="38"/>
      <c r="O337" s="38"/>
      <c r="P337" s="38"/>
      <c r="Q337" s="39">
        <f t="shared" si="109"/>
        <v>229.4</v>
      </c>
      <c r="R337" s="311"/>
      <c r="S337" s="66" t="s">
        <v>553</v>
      </c>
      <c r="T337" s="45"/>
      <c r="U337" s="318"/>
      <c r="V337" s="67"/>
      <c r="W337" s="67"/>
      <c r="X337" s="67"/>
    </row>
    <row r="338" spans="1:24" s="68" customFormat="1" ht="49.5" customHeight="1">
      <c r="A338" s="308"/>
      <c r="B338" s="33" t="s">
        <v>496</v>
      </c>
      <c r="C338" s="36"/>
      <c r="D338" s="36"/>
      <c r="E338" s="239"/>
      <c r="F338" s="34" t="s">
        <v>502</v>
      </c>
      <c r="G338" s="34" t="s">
        <v>99</v>
      </c>
      <c r="H338" s="35">
        <v>112.2</v>
      </c>
      <c r="I338" s="34" t="s">
        <v>45</v>
      </c>
      <c r="J338" s="36" t="s">
        <v>50</v>
      </c>
      <c r="K338" s="37"/>
      <c r="L338" s="38"/>
      <c r="M338" s="38">
        <v>112.2</v>
      </c>
      <c r="N338" s="38"/>
      <c r="O338" s="38"/>
      <c r="P338" s="38"/>
      <c r="Q338" s="39">
        <f t="shared" si="109"/>
        <v>112.2</v>
      </c>
      <c r="R338" s="311"/>
      <c r="S338" s="66" t="s">
        <v>553</v>
      </c>
      <c r="T338" s="81"/>
      <c r="U338" s="318"/>
      <c r="V338" s="67"/>
      <c r="W338" s="67"/>
      <c r="X338" s="67"/>
    </row>
    <row r="339" spans="1:24" s="68" customFormat="1" ht="49.5" customHeight="1">
      <c r="A339" s="308"/>
      <c r="B339" s="33" t="s">
        <v>496</v>
      </c>
      <c r="C339" s="36">
        <v>122</v>
      </c>
      <c r="D339" s="36">
        <v>4</v>
      </c>
      <c r="E339" s="239">
        <v>216</v>
      </c>
      <c r="F339" s="34">
        <v>445</v>
      </c>
      <c r="G339" s="34">
        <v>28</v>
      </c>
      <c r="H339" s="35">
        <v>208.1</v>
      </c>
      <c r="I339" s="34" t="s">
        <v>49</v>
      </c>
      <c r="J339" s="36" t="s">
        <v>57</v>
      </c>
      <c r="K339" s="37">
        <v>208.1</v>
      </c>
      <c r="L339" s="38">
        <f t="shared" ref="L339" si="110">H339-K339</f>
        <v>0</v>
      </c>
      <c r="M339" s="38"/>
      <c r="N339" s="38"/>
      <c r="O339" s="38"/>
      <c r="P339" s="38"/>
      <c r="Q339" s="39">
        <f t="shared" si="109"/>
        <v>208.1</v>
      </c>
      <c r="R339" s="311"/>
      <c r="S339" s="66" t="str">
        <f t="shared" ref="S339:S358" si="111">I339</f>
        <v>LUK</v>
      </c>
      <c r="T339" s="45"/>
      <c r="U339" s="318"/>
      <c r="V339" s="67"/>
      <c r="W339" s="67"/>
      <c r="X339" s="67"/>
    </row>
    <row r="340" spans="1:24" s="68" customFormat="1" ht="49.5" customHeight="1">
      <c r="A340" s="308"/>
      <c r="B340" s="33" t="s">
        <v>496</v>
      </c>
      <c r="C340" s="36">
        <v>132</v>
      </c>
      <c r="D340" s="36">
        <v>4</v>
      </c>
      <c r="E340" s="239">
        <v>192</v>
      </c>
      <c r="F340" s="34" t="s">
        <v>503</v>
      </c>
      <c r="G340" s="34" t="s">
        <v>99</v>
      </c>
      <c r="H340" s="35">
        <v>227.4</v>
      </c>
      <c r="I340" s="34" t="s">
        <v>49</v>
      </c>
      <c r="J340" s="36" t="s">
        <v>57</v>
      </c>
      <c r="K340" s="37">
        <f t="shared" ref="K340" si="112">E340</f>
        <v>192</v>
      </c>
      <c r="L340" s="38">
        <f t="shared" ref="L340" si="113">H340-K340</f>
        <v>35.400000000000006</v>
      </c>
      <c r="M340" s="38"/>
      <c r="N340" s="38"/>
      <c r="O340" s="38">
        <f>227.4-225.1</f>
        <v>2.3000000000000114</v>
      </c>
      <c r="P340" s="38"/>
      <c r="Q340" s="39">
        <f t="shared" ref="Q340" si="114">K340+L340+N340+O340+M340</f>
        <v>229.70000000000002</v>
      </c>
      <c r="R340" s="311"/>
      <c r="S340" s="66" t="str">
        <f t="shared" si="111"/>
        <v>LUK</v>
      </c>
      <c r="T340" s="45"/>
      <c r="U340" s="318"/>
      <c r="V340" s="67"/>
      <c r="W340" s="67"/>
      <c r="X340" s="67"/>
    </row>
    <row r="341" spans="1:24" s="68" customFormat="1" ht="49.5" customHeight="1">
      <c r="A341" s="307">
        <v>104</v>
      </c>
      <c r="B341" s="33" t="s">
        <v>504</v>
      </c>
      <c r="C341" s="72">
        <v>79</v>
      </c>
      <c r="D341" s="72">
        <v>4</v>
      </c>
      <c r="E341" s="73">
        <v>786</v>
      </c>
      <c r="F341" s="34">
        <v>100</v>
      </c>
      <c r="G341" s="34">
        <v>28</v>
      </c>
      <c r="H341" s="35">
        <v>715.9</v>
      </c>
      <c r="I341" s="34" t="s">
        <v>45</v>
      </c>
      <c r="J341" s="36" t="s">
        <v>63</v>
      </c>
      <c r="K341" s="37">
        <v>153.69999999999999</v>
      </c>
      <c r="L341" s="38"/>
      <c r="M341" s="38"/>
      <c r="N341" s="38"/>
      <c r="O341" s="38"/>
      <c r="P341" s="38"/>
      <c r="Q341" s="39">
        <f t="shared" si="109"/>
        <v>153.69999999999999</v>
      </c>
      <c r="R341" s="310">
        <f>SUM(Q341:Q347)</f>
        <v>1385.3000000000002</v>
      </c>
      <c r="S341" s="66" t="str">
        <f t="shared" si="111"/>
        <v>LUC</v>
      </c>
      <c r="T341" s="45"/>
      <c r="U341" s="319"/>
      <c r="V341" s="67"/>
      <c r="W341" s="67"/>
      <c r="X341" s="67"/>
    </row>
    <row r="342" spans="1:24" s="68" customFormat="1" ht="49.5" customHeight="1">
      <c r="A342" s="308"/>
      <c r="B342" s="33" t="s">
        <v>504</v>
      </c>
      <c r="C342" s="36"/>
      <c r="D342" s="36"/>
      <c r="E342" s="239"/>
      <c r="F342" s="34">
        <v>99</v>
      </c>
      <c r="G342" s="34">
        <v>28</v>
      </c>
      <c r="H342" s="35">
        <v>306.3</v>
      </c>
      <c r="I342" s="34" t="s">
        <v>45</v>
      </c>
      <c r="J342" s="36" t="s">
        <v>63</v>
      </c>
      <c r="K342" s="37">
        <v>306.3</v>
      </c>
      <c r="L342" s="38">
        <f t="shared" ref="L342" si="115">H342-K342</f>
        <v>0</v>
      </c>
      <c r="M342" s="38"/>
      <c r="N342" s="38"/>
      <c r="O342" s="38"/>
      <c r="P342" s="38"/>
      <c r="Q342" s="39">
        <f t="shared" si="109"/>
        <v>306.3</v>
      </c>
      <c r="R342" s="311"/>
      <c r="S342" s="66" t="str">
        <f t="shared" si="111"/>
        <v>LUC</v>
      </c>
      <c r="T342" s="45"/>
      <c r="U342" s="318"/>
      <c r="V342" s="67"/>
      <c r="W342" s="67"/>
      <c r="X342" s="67"/>
    </row>
    <row r="343" spans="1:24" s="68" customFormat="1" ht="49.5" customHeight="1">
      <c r="A343" s="308"/>
      <c r="B343" s="33" t="s">
        <v>504</v>
      </c>
      <c r="C343" s="36"/>
      <c r="D343" s="36"/>
      <c r="E343" s="239"/>
      <c r="F343" s="34">
        <v>119</v>
      </c>
      <c r="G343" s="34">
        <v>28</v>
      </c>
      <c r="H343" s="35">
        <v>554.29999999999995</v>
      </c>
      <c r="I343" s="34" t="s">
        <v>45</v>
      </c>
      <c r="J343" s="36" t="s">
        <v>63</v>
      </c>
      <c r="K343" s="37">
        <f>786-K342-K341</f>
        <v>326</v>
      </c>
      <c r="L343" s="38">
        <f>356.7-326</f>
        <v>30.699999999999989</v>
      </c>
      <c r="M343" s="38"/>
      <c r="N343" s="38"/>
      <c r="O343" s="38"/>
      <c r="P343" s="38"/>
      <c r="Q343" s="39">
        <f t="shared" si="109"/>
        <v>356.7</v>
      </c>
      <c r="R343" s="311"/>
      <c r="S343" s="66" t="str">
        <f t="shared" si="111"/>
        <v>LUC</v>
      </c>
      <c r="T343" s="45"/>
      <c r="U343" s="318"/>
      <c r="V343" s="67"/>
      <c r="W343" s="67"/>
      <c r="X343" s="67"/>
    </row>
    <row r="344" spans="1:24" s="68" customFormat="1" ht="49.5" customHeight="1">
      <c r="A344" s="308"/>
      <c r="B344" s="33" t="s">
        <v>504</v>
      </c>
      <c r="C344" s="36"/>
      <c r="D344" s="36"/>
      <c r="E344" s="239"/>
      <c r="F344" s="34">
        <v>211</v>
      </c>
      <c r="G344" s="34">
        <v>28</v>
      </c>
      <c r="H344" s="35">
        <v>158.69999999999999</v>
      </c>
      <c r="I344" s="34" t="s">
        <v>49</v>
      </c>
      <c r="J344" s="36" t="s">
        <v>50</v>
      </c>
      <c r="K344" s="37"/>
      <c r="L344" s="38">
        <v>158.69999999999999</v>
      </c>
      <c r="M344" s="38"/>
      <c r="N344" s="38"/>
      <c r="O344" s="38"/>
      <c r="P344" s="38"/>
      <c r="Q344" s="39">
        <f t="shared" si="109"/>
        <v>158.69999999999999</v>
      </c>
      <c r="R344" s="311"/>
      <c r="S344" s="66" t="str">
        <f t="shared" si="111"/>
        <v>LUK</v>
      </c>
      <c r="T344" s="45"/>
      <c r="U344" s="318"/>
      <c r="V344" s="67"/>
      <c r="W344" s="67"/>
      <c r="X344" s="67"/>
    </row>
    <row r="345" spans="1:24" s="68" customFormat="1" ht="49.5" customHeight="1">
      <c r="A345" s="177"/>
      <c r="B345" s="33" t="s">
        <v>504</v>
      </c>
      <c r="C345" s="36"/>
      <c r="D345" s="36"/>
      <c r="E345" s="239"/>
      <c r="F345" s="34">
        <v>286</v>
      </c>
      <c r="G345" s="34">
        <v>28</v>
      </c>
      <c r="H345" s="35">
        <v>521.70000000000005</v>
      </c>
      <c r="I345" s="34" t="s">
        <v>49</v>
      </c>
      <c r="J345" s="36" t="s">
        <v>50</v>
      </c>
      <c r="K345" s="37"/>
      <c r="L345" s="38">
        <v>122.4</v>
      </c>
      <c r="M345" s="38"/>
      <c r="N345" s="38"/>
      <c r="O345" s="38"/>
      <c r="P345" s="38"/>
      <c r="Q345" s="39">
        <f t="shared" ref="Q345:Q364" si="116">K345+L345+N345+O345+M345</f>
        <v>122.4</v>
      </c>
      <c r="R345" s="240"/>
      <c r="S345" s="66" t="str">
        <f t="shared" si="111"/>
        <v>LUK</v>
      </c>
      <c r="T345" s="45"/>
      <c r="U345" s="318"/>
      <c r="V345" s="67"/>
      <c r="W345" s="67"/>
      <c r="X345" s="67"/>
    </row>
    <row r="346" spans="1:24" s="68" customFormat="1" ht="49.5" customHeight="1">
      <c r="A346" s="177"/>
      <c r="B346" s="33" t="s">
        <v>504</v>
      </c>
      <c r="C346" s="72">
        <v>110</v>
      </c>
      <c r="D346" s="72">
        <v>5</v>
      </c>
      <c r="E346" s="73">
        <v>264</v>
      </c>
      <c r="F346" s="34">
        <v>279</v>
      </c>
      <c r="G346" s="34">
        <v>28</v>
      </c>
      <c r="H346" s="35">
        <v>149.1</v>
      </c>
      <c r="I346" s="34" t="s">
        <v>45</v>
      </c>
      <c r="J346" s="36" t="s">
        <v>50</v>
      </c>
      <c r="K346" s="37">
        <v>149.1</v>
      </c>
      <c r="L346" s="38">
        <f>H346-K346</f>
        <v>0</v>
      </c>
      <c r="M346" s="38"/>
      <c r="N346" s="38"/>
      <c r="O346" s="38"/>
      <c r="P346" s="38"/>
      <c r="Q346" s="39">
        <f t="shared" si="116"/>
        <v>149.1</v>
      </c>
      <c r="R346" s="240"/>
      <c r="S346" s="66" t="str">
        <f t="shared" si="111"/>
        <v>LUC</v>
      </c>
      <c r="T346" s="45"/>
      <c r="U346" s="318"/>
      <c r="V346" s="67"/>
      <c r="W346" s="67"/>
      <c r="X346" s="67"/>
    </row>
    <row r="347" spans="1:24" s="68" customFormat="1" ht="49.5" customHeight="1">
      <c r="A347" s="177"/>
      <c r="B347" s="33" t="s">
        <v>504</v>
      </c>
      <c r="C347" s="36"/>
      <c r="D347" s="36"/>
      <c r="E347" s="239"/>
      <c r="F347" s="34">
        <v>280</v>
      </c>
      <c r="G347" s="34">
        <v>28</v>
      </c>
      <c r="H347" s="35">
        <v>147.69999999999999</v>
      </c>
      <c r="I347" s="34" t="s">
        <v>45</v>
      </c>
      <c r="J347" s="36" t="s">
        <v>50</v>
      </c>
      <c r="K347" s="37">
        <f>264-149.1</f>
        <v>114.9</v>
      </c>
      <c r="L347" s="38">
        <f>H347-K347-9.3</f>
        <v>23.499999999999982</v>
      </c>
      <c r="M347" s="38"/>
      <c r="N347" s="38"/>
      <c r="O347" s="38"/>
      <c r="P347" s="38"/>
      <c r="Q347" s="39">
        <f t="shared" si="116"/>
        <v>138.39999999999998</v>
      </c>
      <c r="R347" s="240"/>
      <c r="S347" s="66" t="str">
        <f t="shared" si="111"/>
        <v>LUC</v>
      </c>
      <c r="T347" s="45"/>
      <c r="U347" s="318"/>
      <c r="V347" s="67"/>
      <c r="W347" s="67"/>
      <c r="X347" s="67"/>
    </row>
    <row r="348" spans="1:24" s="47" customFormat="1" ht="49.5" customHeight="1">
      <c r="A348" s="307">
        <v>105</v>
      </c>
      <c r="B348" s="33" t="s">
        <v>507</v>
      </c>
      <c r="C348" s="36"/>
      <c r="D348" s="36"/>
      <c r="E348" s="239"/>
      <c r="F348" s="34">
        <v>202</v>
      </c>
      <c r="G348" s="34">
        <v>28</v>
      </c>
      <c r="H348" s="35">
        <v>77.400000000000006</v>
      </c>
      <c r="I348" s="34" t="s">
        <v>45</v>
      </c>
      <c r="J348" s="36" t="s">
        <v>50</v>
      </c>
      <c r="K348" s="37"/>
      <c r="L348" s="38">
        <f>H348-K348</f>
        <v>77.400000000000006</v>
      </c>
      <c r="M348" s="38"/>
      <c r="N348" s="38"/>
      <c r="O348" s="38"/>
      <c r="P348" s="38"/>
      <c r="Q348" s="39">
        <f t="shared" si="116"/>
        <v>77.400000000000006</v>
      </c>
      <c r="R348" s="310">
        <f>SUM(Q348:Q351)</f>
        <v>630.4</v>
      </c>
      <c r="S348" s="66" t="str">
        <f t="shared" si="111"/>
        <v>LUC</v>
      </c>
      <c r="T348" s="45"/>
      <c r="U348" s="318"/>
      <c r="V348" s="46"/>
      <c r="W348" s="46"/>
      <c r="X348" s="46"/>
    </row>
    <row r="349" spans="1:24" s="47" customFormat="1" ht="49.5" customHeight="1">
      <c r="A349" s="308"/>
      <c r="B349" s="33" t="s">
        <v>507</v>
      </c>
      <c r="C349" s="36">
        <v>128</v>
      </c>
      <c r="D349" s="36">
        <v>5</v>
      </c>
      <c r="E349" s="239">
        <v>120</v>
      </c>
      <c r="F349" s="34">
        <v>207</v>
      </c>
      <c r="G349" s="34">
        <v>28</v>
      </c>
      <c r="H349" s="35">
        <v>123.3</v>
      </c>
      <c r="I349" s="34" t="s">
        <v>49</v>
      </c>
      <c r="J349" s="36" t="s">
        <v>50</v>
      </c>
      <c r="K349" s="37">
        <f t="shared" ref="K349:K364" si="117">E349</f>
        <v>120</v>
      </c>
      <c r="L349" s="38">
        <f>H349-K349</f>
        <v>3.2999999999999972</v>
      </c>
      <c r="M349" s="38"/>
      <c r="N349" s="38"/>
      <c r="O349" s="38"/>
      <c r="P349" s="38"/>
      <c r="Q349" s="39">
        <f t="shared" si="116"/>
        <v>123.3</v>
      </c>
      <c r="R349" s="311"/>
      <c r="S349" s="66" t="str">
        <f t="shared" si="111"/>
        <v>LUK</v>
      </c>
      <c r="T349" s="45"/>
      <c r="U349" s="318"/>
      <c r="V349" s="46"/>
      <c r="W349" s="46"/>
      <c r="X349" s="46"/>
    </row>
    <row r="350" spans="1:24" s="47" customFormat="1" ht="49.5" customHeight="1">
      <c r="A350" s="308"/>
      <c r="B350" s="33" t="s">
        <v>507</v>
      </c>
      <c r="C350" s="36"/>
      <c r="D350" s="36"/>
      <c r="E350" s="239"/>
      <c r="F350" s="34">
        <v>292</v>
      </c>
      <c r="G350" s="34">
        <v>28</v>
      </c>
      <c r="H350" s="35">
        <v>175</v>
      </c>
      <c r="I350" s="34" t="s">
        <v>49</v>
      </c>
      <c r="J350" s="36" t="s">
        <v>50</v>
      </c>
      <c r="K350" s="37"/>
      <c r="L350" s="38">
        <f>H350-K350</f>
        <v>175</v>
      </c>
      <c r="M350" s="38"/>
      <c r="N350" s="38"/>
      <c r="O350" s="38"/>
      <c r="P350" s="38"/>
      <c r="Q350" s="39">
        <f t="shared" si="116"/>
        <v>175</v>
      </c>
      <c r="R350" s="311"/>
      <c r="S350" s="66" t="str">
        <f t="shared" si="111"/>
        <v>LUK</v>
      </c>
      <c r="T350" s="45"/>
      <c r="U350" s="318"/>
      <c r="V350" s="46"/>
      <c r="W350" s="46"/>
      <c r="X350" s="46"/>
    </row>
    <row r="351" spans="1:24" s="47" customFormat="1" ht="49.5" customHeight="1">
      <c r="A351" s="309"/>
      <c r="B351" s="33" t="s">
        <v>507</v>
      </c>
      <c r="C351" s="36">
        <v>179</v>
      </c>
      <c r="D351" s="36">
        <v>5</v>
      </c>
      <c r="E351" s="239">
        <v>240</v>
      </c>
      <c r="F351" s="34">
        <v>533</v>
      </c>
      <c r="G351" s="34">
        <v>28</v>
      </c>
      <c r="H351" s="35">
        <v>254.7</v>
      </c>
      <c r="I351" s="34" t="s">
        <v>49</v>
      </c>
      <c r="J351" s="36" t="s">
        <v>111</v>
      </c>
      <c r="K351" s="37">
        <f t="shared" si="117"/>
        <v>240</v>
      </c>
      <c r="L351" s="38">
        <f>H351-K351</f>
        <v>14.699999999999989</v>
      </c>
      <c r="M351" s="38"/>
      <c r="N351" s="38"/>
      <c r="O351" s="38"/>
      <c r="P351" s="38"/>
      <c r="Q351" s="39">
        <f t="shared" si="116"/>
        <v>254.7</v>
      </c>
      <c r="R351" s="312"/>
      <c r="S351" s="66" t="str">
        <f t="shared" si="111"/>
        <v>LUK</v>
      </c>
      <c r="T351" s="45"/>
      <c r="U351" s="318"/>
      <c r="V351" s="46"/>
      <c r="W351" s="46"/>
      <c r="X351" s="46"/>
    </row>
    <row r="352" spans="1:24" s="68" customFormat="1" ht="49.5" customHeight="1">
      <c r="A352" s="307">
        <v>106</v>
      </c>
      <c r="B352" s="33" t="s">
        <v>510</v>
      </c>
      <c r="C352" s="72">
        <v>83</v>
      </c>
      <c r="D352" s="72">
        <v>4</v>
      </c>
      <c r="E352" s="73">
        <v>348</v>
      </c>
      <c r="F352" s="34">
        <v>194</v>
      </c>
      <c r="G352" s="34">
        <v>28</v>
      </c>
      <c r="H352" s="35">
        <v>276.10000000000002</v>
      </c>
      <c r="I352" s="34" t="s">
        <v>45</v>
      </c>
      <c r="J352" s="36" t="s">
        <v>63</v>
      </c>
      <c r="K352" s="37">
        <v>276.10000000000002</v>
      </c>
      <c r="L352" s="38">
        <f t="shared" ref="L352" si="118">H352-K352</f>
        <v>0</v>
      </c>
      <c r="M352" s="38"/>
      <c r="N352" s="38"/>
      <c r="O352" s="38"/>
      <c r="P352" s="38"/>
      <c r="Q352" s="39">
        <f t="shared" si="116"/>
        <v>276.10000000000002</v>
      </c>
      <c r="R352" s="310">
        <f>SUM(Q352:Q358)</f>
        <v>1428.6</v>
      </c>
      <c r="S352" s="66" t="str">
        <f t="shared" si="111"/>
        <v>LUC</v>
      </c>
      <c r="T352" s="45"/>
      <c r="U352" s="318"/>
      <c r="V352" s="67"/>
      <c r="W352" s="67"/>
      <c r="X352" s="67"/>
    </row>
    <row r="353" spans="1:24" s="68" customFormat="1" ht="49.5" customHeight="1">
      <c r="A353" s="308"/>
      <c r="B353" s="33" t="s">
        <v>510</v>
      </c>
      <c r="C353" s="36"/>
      <c r="D353" s="36"/>
      <c r="E353" s="239"/>
      <c r="F353" s="34">
        <v>195</v>
      </c>
      <c r="G353" s="34">
        <v>28</v>
      </c>
      <c r="H353" s="35">
        <v>349.5</v>
      </c>
      <c r="I353" s="34" t="s">
        <v>45</v>
      </c>
      <c r="J353" s="36" t="s">
        <v>63</v>
      </c>
      <c r="K353" s="37">
        <f>348-276.1</f>
        <v>71.899999999999977</v>
      </c>
      <c r="L353" s="38">
        <f>82.9-71.9</f>
        <v>11</v>
      </c>
      <c r="M353" s="38"/>
      <c r="N353" s="38"/>
      <c r="O353" s="38"/>
      <c r="P353" s="38"/>
      <c r="Q353" s="39">
        <f t="shared" si="116"/>
        <v>82.899999999999977</v>
      </c>
      <c r="R353" s="311"/>
      <c r="S353" s="66" t="str">
        <f t="shared" si="111"/>
        <v>LUC</v>
      </c>
      <c r="T353" s="45"/>
      <c r="U353" s="318"/>
      <c r="V353" s="67"/>
      <c r="W353" s="67"/>
      <c r="X353" s="67"/>
    </row>
    <row r="354" spans="1:24" s="68" customFormat="1" ht="49.5" customHeight="1">
      <c r="A354" s="308"/>
      <c r="B354" s="33" t="s">
        <v>510</v>
      </c>
      <c r="C354" s="72" t="s">
        <v>512</v>
      </c>
      <c r="D354" s="72">
        <v>5</v>
      </c>
      <c r="E354" s="73">
        <v>396</v>
      </c>
      <c r="F354" s="34">
        <v>87</v>
      </c>
      <c r="G354" s="34">
        <v>28</v>
      </c>
      <c r="H354" s="35">
        <v>271.3</v>
      </c>
      <c r="I354" s="34" t="s">
        <v>49</v>
      </c>
      <c r="J354" s="36" t="s">
        <v>50</v>
      </c>
      <c r="K354" s="37">
        <v>271.3</v>
      </c>
      <c r="L354" s="38">
        <f t="shared" ref="L354:L356" si="119">H354-K354</f>
        <v>0</v>
      </c>
      <c r="M354" s="38"/>
      <c r="N354" s="38"/>
      <c r="O354" s="38"/>
      <c r="P354" s="38"/>
      <c r="Q354" s="39">
        <f t="shared" si="116"/>
        <v>271.3</v>
      </c>
      <c r="R354" s="311"/>
      <c r="S354" s="66" t="str">
        <f t="shared" si="111"/>
        <v>LUK</v>
      </c>
      <c r="T354" s="45"/>
      <c r="U354" s="318"/>
      <c r="V354" s="67"/>
      <c r="W354" s="67"/>
      <c r="X354" s="67"/>
    </row>
    <row r="355" spans="1:24" s="68" customFormat="1" ht="49.5" customHeight="1">
      <c r="A355" s="308"/>
      <c r="B355" s="33" t="s">
        <v>510</v>
      </c>
      <c r="C355" s="36"/>
      <c r="D355" s="36"/>
      <c r="E355" s="239"/>
      <c r="F355" s="34">
        <v>206</v>
      </c>
      <c r="G355" s="34">
        <v>28</v>
      </c>
      <c r="H355" s="35">
        <v>144.6</v>
      </c>
      <c r="I355" s="34" t="s">
        <v>49</v>
      </c>
      <c r="J355" s="36" t="s">
        <v>242</v>
      </c>
      <c r="K355" s="37">
        <f>396-271.3</f>
        <v>124.69999999999999</v>
      </c>
      <c r="L355" s="38">
        <f t="shared" si="119"/>
        <v>19.900000000000006</v>
      </c>
      <c r="M355" s="38"/>
      <c r="N355" s="38"/>
      <c r="O355" s="38"/>
      <c r="P355" s="38"/>
      <c r="Q355" s="39">
        <f t="shared" si="116"/>
        <v>144.6</v>
      </c>
      <c r="R355" s="311"/>
      <c r="S355" s="66" t="str">
        <f t="shared" si="111"/>
        <v>LUK</v>
      </c>
      <c r="T355" s="45"/>
      <c r="U355" s="318"/>
      <c r="V355" s="67"/>
      <c r="W355" s="67"/>
      <c r="X355" s="67"/>
    </row>
    <row r="356" spans="1:24" s="68" customFormat="1" ht="49.5" customHeight="1">
      <c r="A356" s="308"/>
      <c r="B356" s="33" t="s">
        <v>510</v>
      </c>
      <c r="C356" s="36">
        <v>120</v>
      </c>
      <c r="D356" s="36">
        <v>4</v>
      </c>
      <c r="E356" s="239">
        <v>192</v>
      </c>
      <c r="F356" s="34">
        <v>396</v>
      </c>
      <c r="G356" s="34">
        <v>28</v>
      </c>
      <c r="H356" s="35">
        <v>253.4</v>
      </c>
      <c r="I356" s="34" t="s">
        <v>49</v>
      </c>
      <c r="J356" s="36" t="s">
        <v>417</v>
      </c>
      <c r="K356" s="37">
        <f t="shared" ref="K356" si="120">E356</f>
        <v>192</v>
      </c>
      <c r="L356" s="38">
        <f t="shared" si="119"/>
        <v>61.400000000000006</v>
      </c>
      <c r="M356" s="38"/>
      <c r="N356" s="38"/>
      <c r="O356" s="38"/>
      <c r="P356" s="38"/>
      <c r="Q356" s="39">
        <f t="shared" si="116"/>
        <v>253.4</v>
      </c>
      <c r="R356" s="311"/>
      <c r="S356" s="66" t="str">
        <f t="shared" si="111"/>
        <v>LUK</v>
      </c>
      <c r="T356" s="45"/>
      <c r="U356" s="318"/>
      <c r="V356" s="67"/>
      <c r="W356" s="67"/>
      <c r="X356" s="67"/>
    </row>
    <row r="357" spans="1:24" s="68" customFormat="1" ht="49.5" customHeight="1">
      <c r="A357" s="308"/>
      <c r="B357" s="33" t="s">
        <v>510</v>
      </c>
      <c r="C357" s="36"/>
      <c r="D357" s="36"/>
      <c r="E357" s="239"/>
      <c r="F357" s="34">
        <v>241</v>
      </c>
      <c r="G357" s="34">
        <v>21</v>
      </c>
      <c r="H357" s="35">
        <v>400.3</v>
      </c>
      <c r="I357" s="34" t="s">
        <v>45</v>
      </c>
      <c r="J357" s="36" t="s">
        <v>54</v>
      </c>
      <c r="K357" s="37"/>
      <c r="L357" s="38">
        <v>28.4</v>
      </c>
      <c r="M357" s="38"/>
      <c r="N357" s="38"/>
      <c r="O357" s="38"/>
      <c r="P357" s="38"/>
      <c r="Q357" s="39">
        <f t="shared" si="116"/>
        <v>28.4</v>
      </c>
      <c r="R357" s="311"/>
      <c r="S357" s="66" t="str">
        <f t="shared" si="111"/>
        <v>LUC</v>
      </c>
      <c r="T357" s="45"/>
      <c r="U357" s="318"/>
      <c r="V357" s="67"/>
      <c r="W357" s="67"/>
      <c r="X357" s="67"/>
    </row>
    <row r="358" spans="1:24" s="68" customFormat="1" ht="49.5" customHeight="1">
      <c r="A358" s="309"/>
      <c r="B358" s="33" t="s">
        <v>510</v>
      </c>
      <c r="C358" s="36"/>
      <c r="D358" s="36"/>
      <c r="E358" s="239"/>
      <c r="F358" s="34">
        <v>241</v>
      </c>
      <c r="G358" s="34">
        <v>21</v>
      </c>
      <c r="H358" s="35">
        <v>400.3</v>
      </c>
      <c r="I358" s="34" t="s">
        <v>45</v>
      </c>
      <c r="J358" s="36" t="s">
        <v>54</v>
      </c>
      <c r="K358" s="37"/>
      <c r="L358" s="38"/>
      <c r="M358" s="38"/>
      <c r="N358" s="38">
        <v>371.9</v>
      </c>
      <c r="O358" s="38"/>
      <c r="P358" s="38"/>
      <c r="Q358" s="39">
        <f t="shared" si="116"/>
        <v>371.9</v>
      </c>
      <c r="R358" s="312"/>
      <c r="S358" s="66" t="str">
        <f t="shared" si="111"/>
        <v>LUC</v>
      </c>
      <c r="T358" s="45"/>
      <c r="U358" s="318"/>
      <c r="V358" s="67"/>
      <c r="W358" s="67"/>
      <c r="X358" s="67"/>
    </row>
    <row r="359" spans="1:24" s="68" customFormat="1" ht="49.5" customHeight="1">
      <c r="A359" s="307">
        <v>107</v>
      </c>
      <c r="B359" s="33" t="s">
        <v>514</v>
      </c>
      <c r="C359" s="36"/>
      <c r="D359" s="36"/>
      <c r="E359" s="239"/>
      <c r="F359" s="34">
        <v>121</v>
      </c>
      <c r="G359" s="34">
        <v>28</v>
      </c>
      <c r="H359" s="35">
        <v>166.6</v>
      </c>
      <c r="I359" s="34" t="s">
        <v>55</v>
      </c>
      <c r="J359" s="36" t="s">
        <v>46</v>
      </c>
      <c r="K359" s="37"/>
      <c r="L359" s="38"/>
      <c r="M359" s="38">
        <v>166.6</v>
      </c>
      <c r="N359" s="38"/>
      <c r="O359" s="38"/>
      <c r="P359" s="38"/>
      <c r="Q359" s="39">
        <f t="shared" si="116"/>
        <v>166.6</v>
      </c>
      <c r="R359" s="310">
        <f>SUM(Q359:Q364)</f>
        <v>1680.5</v>
      </c>
      <c r="S359" s="66" t="s">
        <v>553</v>
      </c>
      <c r="T359" s="45"/>
      <c r="U359" s="318"/>
      <c r="V359" s="67"/>
      <c r="W359" s="67"/>
      <c r="X359" s="67"/>
    </row>
    <row r="360" spans="1:24" s="68" customFormat="1" ht="49.5" customHeight="1">
      <c r="A360" s="308"/>
      <c r="B360" s="33" t="s">
        <v>514</v>
      </c>
      <c r="C360" s="36">
        <v>200</v>
      </c>
      <c r="D360" s="36">
        <v>5</v>
      </c>
      <c r="E360" s="239">
        <v>348</v>
      </c>
      <c r="F360" s="34">
        <v>132</v>
      </c>
      <c r="G360" s="34">
        <v>28</v>
      </c>
      <c r="H360" s="35">
        <v>364.6</v>
      </c>
      <c r="I360" s="34" t="s">
        <v>49</v>
      </c>
      <c r="J360" s="36" t="s">
        <v>50</v>
      </c>
      <c r="K360" s="37">
        <f t="shared" ref="K360" si="121">E360</f>
        <v>348</v>
      </c>
      <c r="L360" s="38">
        <f t="shared" ref="L360:L364" si="122">H360-K360</f>
        <v>16.600000000000023</v>
      </c>
      <c r="M360" s="38"/>
      <c r="N360" s="38"/>
      <c r="O360" s="38"/>
      <c r="P360" s="38"/>
      <c r="Q360" s="39">
        <f t="shared" si="116"/>
        <v>364.6</v>
      </c>
      <c r="R360" s="311"/>
      <c r="S360" s="66" t="str">
        <f>I360</f>
        <v>LUK</v>
      </c>
      <c r="T360" s="45"/>
      <c r="U360" s="318"/>
      <c r="V360" s="67"/>
      <c r="W360" s="67"/>
      <c r="X360" s="67"/>
    </row>
    <row r="361" spans="1:24" s="68" customFormat="1" ht="49.5" customHeight="1">
      <c r="A361" s="308"/>
      <c r="B361" s="33" t="s">
        <v>514</v>
      </c>
      <c r="C361" s="36"/>
      <c r="D361" s="36"/>
      <c r="E361" s="239"/>
      <c r="F361" s="34">
        <v>200</v>
      </c>
      <c r="G361" s="34">
        <v>28</v>
      </c>
      <c r="H361" s="35">
        <v>438.9</v>
      </c>
      <c r="I361" s="34" t="s">
        <v>45</v>
      </c>
      <c r="J361" s="36" t="s">
        <v>63</v>
      </c>
      <c r="K361" s="37"/>
      <c r="L361" s="38">
        <f t="shared" si="122"/>
        <v>438.9</v>
      </c>
      <c r="M361" s="38"/>
      <c r="N361" s="38"/>
      <c r="O361" s="38"/>
      <c r="P361" s="38"/>
      <c r="Q361" s="39">
        <f t="shared" si="116"/>
        <v>438.9</v>
      </c>
      <c r="R361" s="311"/>
      <c r="S361" s="66" t="str">
        <f>I361</f>
        <v>LUC</v>
      </c>
      <c r="T361" s="45"/>
      <c r="U361" s="318"/>
      <c r="V361" s="67"/>
      <c r="W361" s="67"/>
      <c r="X361" s="67"/>
    </row>
    <row r="362" spans="1:24" s="68" customFormat="1" ht="49.5" customHeight="1">
      <c r="A362" s="308"/>
      <c r="B362" s="33" t="s">
        <v>514</v>
      </c>
      <c r="C362" s="36">
        <v>124</v>
      </c>
      <c r="D362" s="36">
        <v>4</v>
      </c>
      <c r="E362" s="239">
        <v>288</v>
      </c>
      <c r="F362" s="34">
        <v>350</v>
      </c>
      <c r="G362" s="34">
        <v>28</v>
      </c>
      <c r="H362" s="35">
        <v>319.10000000000002</v>
      </c>
      <c r="I362" s="34" t="s">
        <v>49</v>
      </c>
      <c r="J362" s="36" t="s">
        <v>198</v>
      </c>
      <c r="K362" s="37">
        <f t="shared" ref="K362" si="123">E362</f>
        <v>288</v>
      </c>
      <c r="L362" s="38">
        <f t="shared" si="122"/>
        <v>31.100000000000023</v>
      </c>
      <c r="M362" s="38"/>
      <c r="N362" s="38"/>
      <c r="O362" s="38"/>
      <c r="P362" s="38"/>
      <c r="Q362" s="39">
        <f t="shared" si="116"/>
        <v>319.10000000000002</v>
      </c>
      <c r="R362" s="311"/>
      <c r="S362" s="66" t="str">
        <f>I362</f>
        <v>LUK</v>
      </c>
      <c r="T362" s="45"/>
      <c r="U362" s="318"/>
      <c r="V362" s="67"/>
      <c r="W362" s="67"/>
      <c r="X362" s="67"/>
    </row>
    <row r="363" spans="1:24" s="68" customFormat="1" ht="49.5" customHeight="1">
      <c r="A363" s="308"/>
      <c r="B363" s="33" t="s">
        <v>514</v>
      </c>
      <c r="C363" s="36"/>
      <c r="D363" s="36"/>
      <c r="E363" s="239"/>
      <c r="F363" s="34">
        <v>528</v>
      </c>
      <c r="G363" s="34">
        <v>28</v>
      </c>
      <c r="H363" s="35">
        <v>135.5</v>
      </c>
      <c r="I363" s="34" t="s">
        <v>49</v>
      </c>
      <c r="J363" s="36" t="s">
        <v>111</v>
      </c>
      <c r="K363" s="37"/>
      <c r="L363" s="38">
        <f t="shared" si="122"/>
        <v>135.5</v>
      </c>
      <c r="M363" s="38"/>
      <c r="N363" s="38"/>
      <c r="O363" s="38"/>
      <c r="P363" s="38"/>
      <c r="Q363" s="39">
        <f t="shared" si="116"/>
        <v>135.5</v>
      </c>
      <c r="R363" s="311"/>
      <c r="S363" s="66" t="str">
        <f>I363</f>
        <v>LUK</v>
      </c>
      <c r="T363" s="81"/>
      <c r="U363" s="318"/>
      <c r="V363" s="67"/>
      <c r="W363" s="67"/>
      <c r="X363" s="67"/>
    </row>
    <row r="364" spans="1:24" s="68" customFormat="1" ht="49.5" customHeight="1">
      <c r="A364" s="309"/>
      <c r="B364" s="33" t="s">
        <v>514</v>
      </c>
      <c r="C364" s="36">
        <v>221</v>
      </c>
      <c r="D364" s="36">
        <v>5</v>
      </c>
      <c r="E364" s="239">
        <v>168</v>
      </c>
      <c r="F364" s="34">
        <v>84</v>
      </c>
      <c r="G364" s="34">
        <v>28</v>
      </c>
      <c r="H364" s="35">
        <v>255.8</v>
      </c>
      <c r="I364" s="34" t="s">
        <v>49</v>
      </c>
      <c r="J364" s="36" t="s">
        <v>109</v>
      </c>
      <c r="K364" s="37">
        <f t="shared" si="117"/>
        <v>168</v>
      </c>
      <c r="L364" s="38">
        <f t="shared" si="122"/>
        <v>87.800000000000011</v>
      </c>
      <c r="M364" s="38"/>
      <c r="N364" s="38"/>
      <c r="O364" s="38"/>
      <c r="P364" s="38"/>
      <c r="Q364" s="39">
        <f t="shared" si="116"/>
        <v>255.8</v>
      </c>
      <c r="R364" s="312"/>
      <c r="S364" s="66" t="str">
        <f>I364</f>
        <v>LUK</v>
      </c>
      <c r="T364" s="45"/>
      <c r="U364" s="318"/>
      <c r="V364" s="67"/>
      <c r="W364" s="67"/>
      <c r="X364" s="67"/>
    </row>
    <row r="365" spans="1:24" ht="11.25" customHeight="1">
      <c r="B365" s="102"/>
      <c r="C365" s="117"/>
      <c r="D365" s="117"/>
      <c r="E365" s="118"/>
      <c r="F365" s="119"/>
      <c r="G365" s="119"/>
      <c r="H365" s="120"/>
      <c r="I365" s="119"/>
      <c r="J365" s="121"/>
      <c r="K365" s="122"/>
      <c r="L365" s="108"/>
      <c r="M365" s="108"/>
      <c r="N365" s="108"/>
      <c r="O365" s="108"/>
      <c r="P365" s="108"/>
      <c r="Q365" s="109"/>
      <c r="R365" s="110"/>
      <c r="S365" s="110"/>
      <c r="T365" s="253"/>
    </row>
    <row r="366" spans="1:24" ht="25.5" customHeight="1">
      <c r="B366" s="102"/>
      <c r="C366" s="117"/>
      <c r="D366" s="117"/>
      <c r="E366" s="118"/>
      <c r="F366" s="119"/>
      <c r="G366" s="119"/>
      <c r="H366" s="120"/>
      <c r="I366" s="119"/>
      <c r="J366" s="121"/>
      <c r="K366" s="122"/>
      <c r="L366" s="108"/>
      <c r="M366" s="108"/>
      <c r="N366" s="108"/>
      <c r="O366" s="108"/>
      <c r="P366" s="108"/>
      <c r="Q366" s="109"/>
      <c r="R366" s="110"/>
      <c r="S366" s="110"/>
      <c r="T366" s="254"/>
    </row>
    <row r="367" spans="1:24" ht="29.25" customHeight="1">
      <c r="B367" s="102"/>
      <c r="C367" s="117"/>
      <c r="D367" s="117"/>
      <c r="E367" s="118"/>
      <c r="F367" s="119"/>
      <c r="G367" s="119"/>
      <c r="H367" s="120"/>
      <c r="I367" s="119"/>
      <c r="J367" s="121"/>
      <c r="K367" s="122"/>
      <c r="L367" s="108"/>
      <c r="M367" s="108"/>
      <c r="N367" s="108"/>
      <c r="O367" s="108"/>
      <c r="P367" s="108"/>
      <c r="Q367" s="109"/>
      <c r="R367" s="110"/>
      <c r="S367" s="110"/>
      <c r="T367" s="254"/>
    </row>
    <row r="368" spans="1:24" ht="18.75" customHeight="1">
      <c r="B368" s="102"/>
      <c r="C368" s="117"/>
      <c r="D368" s="117"/>
      <c r="E368" s="118"/>
      <c r="F368" s="119"/>
      <c r="G368" s="119"/>
      <c r="H368" s="120"/>
      <c r="I368" s="119"/>
      <c r="J368" s="121"/>
      <c r="K368" s="122"/>
      <c r="L368" s="108"/>
      <c r="M368" s="108"/>
      <c r="N368" s="108"/>
      <c r="O368" s="108"/>
      <c r="P368" s="108"/>
      <c r="Q368" s="109"/>
      <c r="R368" s="110"/>
      <c r="S368" s="110"/>
      <c r="T368" s="253"/>
    </row>
    <row r="369" spans="2:20" ht="18.75" customHeight="1">
      <c r="B369" s="102"/>
      <c r="C369" s="117"/>
      <c r="D369" s="117"/>
      <c r="E369" s="118"/>
      <c r="F369" s="119"/>
      <c r="G369" s="119"/>
      <c r="H369" s="120"/>
      <c r="I369" s="119"/>
      <c r="J369" s="121"/>
      <c r="K369" s="122"/>
      <c r="L369" s="108"/>
      <c r="M369" s="108"/>
      <c r="N369" s="108"/>
      <c r="O369" s="108"/>
      <c r="P369" s="108"/>
      <c r="Q369" s="109"/>
      <c r="R369" s="110"/>
      <c r="S369" s="110"/>
      <c r="T369" s="253"/>
    </row>
    <row r="370" spans="2:20" ht="18.75" customHeight="1">
      <c r="B370" s="102"/>
      <c r="C370" s="117"/>
      <c r="D370" s="117"/>
      <c r="E370" s="118"/>
      <c r="F370" s="119"/>
      <c r="G370" s="119"/>
      <c r="H370" s="126"/>
      <c r="I370" s="119"/>
      <c r="J370" s="121"/>
      <c r="K370" s="122"/>
      <c r="L370" s="109"/>
      <c r="M370" s="109"/>
      <c r="N370" s="109"/>
      <c r="O370" s="109"/>
      <c r="P370" s="109"/>
      <c r="Q370" s="109"/>
      <c r="R370" s="110"/>
      <c r="S370" s="110"/>
      <c r="T370" s="255"/>
    </row>
    <row r="371" spans="2:20" ht="22.5">
      <c r="B371" s="128"/>
      <c r="C371" s="128"/>
      <c r="D371" s="128"/>
      <c r="E371" s="128"/>
      <c r="F371" s="128"/>
      <c r="G371" s="128"/>
      <c r="H371" s="128"/>
      <c r="I371" s="128"/>
      <c r="J371" s="128"/>
      <c r="K371" s="128"/>
      <c r="L371" s="128"/>
      <c r="M371" s="128"/>
      <c r="N371" s="128"/>
      <c r="O371" s="128"/>
      <c r="P371" s="128"/>
      <c r="Q371" s="109"/>
      <c r="R371" s="110"/>
      <c r="S371" s="110"/>
      <c r="T371" s="256"/>
    </row>
    <row r="372" spans="2:20" ht="18.75" customHeight="1">
      <c r="B372" s="102"/>
      <c r="C372" s="131"/>
      <c r="D372" s="131"/>
      <c r="E372" s="132"/>
      <c r="F372" s="131"/>
      <c r="G372" s="131"/>
      <c r="H372" s="133"/>
      <c r="I372" s="131"/>
      <c r="J372" s="134"/>
      <c r="K372" s="131"/>
      <c r="L372" s="135"/>
      <c r="M372" s="135"/>
      <c r="N372" s="135"/>
      <c r="O372" s="135"/>
      <c r="P372" s="135"/>
      <c r="Q372" s="136"/>
      <c r="R372" s="137"/>
      <c r="S372" s="137"/>
      <c r="T372" s="253"/>
    </row>
    <row r="373" spans="2:20" ht="18.75" customHeight="1">
      <c r="T373" s="257"/>
    </row>
    <row r="374" spans="2:20" ht="30.75" customHeight="1">
      <c r="T374" s="258"/>
    </row>
    <row r="375" spans="2:20" ht="18.75" customHeight="1">
      <c r="T375" s="257"/>
    </row>
    <row r="376" spans="2:20" ht="18.75" customHeight="1">
      <c r="T376" s="257"/>
    </row>
    <row r="377" spans="2:20" ht="18.75" customHeight="1">
      <c r="T377" s="257"/>
    </row>
    <row r="378" spans="2:20" ht="18.75" customHeight="1">
      <c r="T378" s="257"/>
    </row>
    <row r="379" spans="2:20" ht="18.75" customHeight="1">
      <c r="T379" s="257"/>
    </row>
    <row r="380" spans="2:20" ht="18.75" customHeight="1">
      <c r="T380" s="257"/>
    </row>
    <row r="381" spans="2:20" ht="18.75" customHeight="1">
      <c r="T381" s="257"/>
    </row>
    <row r="382" spans="2:20" ht="18.75" customHeight="1">
      <c r="T382" s="257"/>
    </row>
    <row r="383" spans="2:20" ht="18.75" customHeight="1">
      <c r="T383" s="257"/>
    </row>
    <row r="384" spans="2:20" ht="18.75" customHeight="1">
      <c r="T384" s="257"/>
    </row>
    <row r="385" spans="20:20" ht="18.75" customHeight="1">
      <c r="T385" s="257"/>
    </row>
    <row r="386" spans="20:20" ht="18.75" customHeight="1">
      <c r="T386" s="257"/>
    </row>
    <row r="387" spans="20:20" ht="18.75" customHeight="1">
      <c r="T387" s="257"/>
    </row>
    <row r="388" spans="20:20" ht="18.75" customHeight="1">
      <c r="T388" s="257"/>
    </row>
    <row r="389" spans="20:20" ht="18.75" customHeight="1">
      <c r="T389" s="259"/>
    </row>
    <row r="390" spans="20:20" ht="18.75" customHeight="1"/>
  </sheetData>
  <autoFilter ref="A9:AE364"/>
  <mergeCells count="206">
    <mergeCell ref="A328:A333"/>
    <mergeCell ref="R328:R329"/>
    <mergeCell ref="U328:U333"/>
    <mergeCell ref="A334:A340"/>
    <mergeCell ref="R334:R340"/>
    <mergeCell ref="U335:U340"/>
    <mergeCell ref="A321:A322"/>
    <mergeCell ref="R321:R322"/>
    <mergeCell ref="A352:A358"/>
    <mergeCell ref="R352:R358"/>
    <mergeCell ref="U352:U358"/>
    <mergeCell ref="U321:U322"/>
    <mergeCell ref="A323:A327"/>
    <mergeCell ref="R323:R327"/>
    <mergeCell ref="U323:U327"/>
    <mergeCell ref="A359:A364"/>
    <mergeCell ref="R359:R364"/>
    <mergeCell ref="U359:U364"/>
    <mergeCell ref="A341:A344"/>
    <mergeCell ref="R341:R344"/>
    <mergeCell ref="U341:U347"/>
    <mergeCell ref="A348:A351"/>
    <mergeCell ref="R348:R351"/>
    <mergeCell ref="U348:U351"/>
    <mergeCell ref="A316:A317"/>
    <mergeCell ref="R316:R317"/>
    <mergeCell ref="U316:U317"/>
    <mergeCell ref="A318:A320"/>
    <mergeCell ref="R318:R320"/>
    <mergeCell ref="U318:U320"/>
    <mergeCell ref="A312:A314"/>
    <mergeCell ref="R312:R314"/>
    <mergeCell ref="U312:U314"/>
    <mergeCell ref="A307:A309"/>
    <mergeCell ref="R307:R309"/>
    <mergeCell ref="U307:U309"/>
    <mergeCell ref="A301:A303"/>
    <mergeCell ref="R301:R303"/>
    <mergeCell ref="A304:A306"/>
    <mergeCell ref="R304:R306"/>
    <mergeCell ref="A290:A295"/>
    <mergeCell ref="R290:R295"/>
    <mergeCell ref="A297:A300"/>
    <mergeCell ref="R297:R300"/>
    <mergeCell ref="J273:J274"/>
    <mergeCell ref="A278:A283"/>
    <mergeCell ref="R278:R283"/>
    <mergeCell ref="A284:A289"/>
    <mergeCell ref="R284:R289"/>
    <mergeCell ref="C285:C286"/>
    <mergeCell ref="D285:D286"/>
    <mergeCell ref="E285:E286"/>
    <mergeCell ref="A262:A267"/>
    <mergeCell ref="R262:R267"/>
    <mergeCell ref="R268:R277"/>
    <mergeCell ref="A269:A277"/>
    <mergeCell ref="F273:F274"/>
    <mergeCell ref="G273:G274"/>
    <mergeCell ref="H273:H274"/>
    <mergeCell ref="I273:I274"/>
    <mergeCell ref="A252:A261"/>
    <mergeCell ref="R252:R261"/>
    <mergeCell ref="C255:C257"/>
    <mergeCell ref="D255:D257"/>
    <mergeCell ref="E255:E257"/>
    <mergeCell ref="A242:A247"/>
    <mergeCell ref="R242:R247"/>
    <mergeCell ref="A248:A251"/>
    <mergeCell ref="C248:C249"/>
    <mergeCell ref="D248:D249"/>
    <mergeCell ref="E248:E249"/>
    <mergeCell ref="R248:R251"/>
    <mergeCell ref="A225:A233"/>
    <mergeCell ref="R225:R233"/>
    <mergeCell ref="A234:A240"/>
    <mergeCell ref="R234:R240"/>
    <mergeCell ref="A215:A218"/>
    <mergeCell ref="R215:R218"/>
    <mergeCell ref="A219:A224"/>
    <mergeCell ref="R219:R221"/>
    <mergeCell ref="A208:A209"/>
    <mergeCell ref="R208:R209"/>
    <mergeCell ref="A211:A214"/>
    <mergeCell ref="R211:R214"/>
    <mergeCell ref="A201:A203"/>
    <mergeCell ref="R201:R203"/>
    <mergeCell ref="A204:A207"/>
    <mergeCell ref="R204:R207"/>
    <mergeCell ref="A189:A194"/>
    <mergeCell ref="R189:R194"/>
    <mergeCell ref="A195:A199"/>
    <mergeCell ref="R195:R199"/>
    <mergeCell ref="A185:A186"/>
    <mergeCell ref="R185:R186"/>
    <mergeCell ref="A187:A188"/>
    <mergeCell ref="R187:R188"/>
    <mergeCell ref="A176:A179"/>
    <mergeCell ref="R176:R179"/>
    <mergeCell ref="A180:A184"/>
    <mergeCell ref="R180:R184"/>
    <mergeCell ref="C181:C182"/>
    <mergeCell ref="D181:D182"/>
    <mergeCell ref="E181:E182"/>
    <mergeCell ref="A170:A175"/>
    <mergeCell ref="C170:C171"/>
    <mergeCell ref="D170:D171"/>
    <mergeCell ref="E170:E171"/>
    <mergeCell ref="R170:R175"/>
    <mergeCell ref="A163:A165"/>
    <mergeCell ref="R163:R165"/>
    <mergeCell ref="A166:A169"/>
    <mergeCell ref="R166:R169"/>
    <mergeCell ref="A156:A159"/>
    <mergeCell ref="R156:R159"/>
    <mergeCell ref="A160:A162"/>
    <mergeCell ref="R160:R162"/>
    <mergeCell ref="A148:A149"/>
    <mergeCell ref="R148:R149"/>
    <mergeCell ref="A151:A152"/>
    <mergeCell ref="R151:R155"/>
    <mergeCell ref="A153:A155"/>
    <mergeCell ref="A142:A145"/>
    <mergeCell ref="R142:R146"/>
    <mergeCell ref="A136:A138"/>
    <mergeCell ref="R136:R138"/>
    <mergeCell ref="A139:A140"/>
    <mergeCell ref="R139:R140"/>
    <mergeCell ref="A130:A132"/>
    <mergeCell ref="R130:R132"/>
    <mergeCell ref="A134:A135"/>
    <mergeCell ref="R134:R135"/>
    <mergeCell ref="A125:A129"/>
    <mergeCell ref="R125:R129"/>
    <mergeCell ref="C126:C128"/>
    <mergeCell ref="D126:D128"/>
    <mergeCell ref="E126:E128"/>
    <mergeCell ref="A118:A121"/>
    <mergeCell ref="R118:R121"/>
    <mergeCell ref="A122:A124"/>
    <mergeCell ref="R122:R124"/>
    <mergeCell ref="A113:A116"/>
    <mergeCell ref="R113:R116"/>
    <mergeCell ref="C114:C115"/>
    <mergeCell ref="D114:D115"/>
    <mergeCell ref="E114:E115"/>
    <mergeCell ref="A101:A106"/>
    <mergeCell ref="R101:R106"/>
    <mergeCell ref="A108:A112"/>
    <mergeCell ref="R108:R112"/>
    <mergeCell ref="A94:A95"/>
    <mergeCell ref="R94:R95"/>
    <mergeCell ref="A96:A100"/>
    <mergeCell ref="R96:R100"/>
    <mergeCell ref="A86:A88"/>
    <mergeCell ref="R86:R88"/>
    <mergeCell ref="A89:A93"/>
    <mergeCell ref="R89:R93"/>
    <mergeCell ref="A82:A84"/>
    <mergeCell ref="R82:R84"/>
    <mergeCell ref="R74:R75"/>
    <mergeCell ref="A77:A78"/>
    <mergeCell ref="R77:R78"/>
    <mergeCell ref="A79:A81"/>
    <mergeCell ref="R79:R81"/>
    <mergeCell ref="A61:A62"/>
    <mergeCell ref="A63:A69"/>
    <mergeCell ref="R63:R66"/>
    <mergeCell ref="A56:A57"/>
    <mergeCell ref="R56:R57"/>
    <mergeCell ref="A58:A60"/>
    <mergeCell ref="R58:R60"/>
    <mergeCell ref="A50:A52"/>
    <mergeCell ref="R50:R52"/>
    <mergeCell ref="A53:A55"/>
    <mergeCell ref="R53:R55"/>
    <mergeCell ref="A44:A45"/>
    <mergeCell ref="R44:R45"/>
    <mergeCell ref="A46:A49"/>
    <mergeCell ref="R46:R49"/>
    <mergeCell ref="A37:A42"/>
    <mergeCell ref="R37:R42"/>
    <mergeCell ref="A33:A34"/>
    <mergeCell ref="R33:R34"/>
    <mergeCell ref="A20:A24"/>
    <mergeCell ref="A25:A28"/>
    <mergeCell ref="R25:R28"/>
    <mergeCell ref="A29:A30"/>
    <mergeCell ref="R29:R30"/>
    <mergeCell ref="T6:T8"/>
    <mergeCell ref="A10:B10"/>
    <mergeCell ref="A11:A17"/>
    <mergeCell ref="Q6:Q8"/>
    <mergeCell ref="R6:R8"/>
    <mergeCell ref="O6:P7"/>
    <mergeCell ref="S6:S8"/>
    <mergeCell ref="R11:R17"/>
    <mergeCell ref="R20:R24"/>
    <mergeCell ref="A1:T2"/>
    <mergeCell ref="B3:T3"/>
    <mergeCell ref="A4:T4"/>
    <mergeCell ref="A5:T5"/>
    <mergeCell ref="A6:A8"/>
    <mergeCell ref="B6:B8"/>
    <mergeCell ref="C6:E7"/>
    <mergeCell ref="F6:J7"/>
    <mergeCell ref="K6:N7"/>
  </mergeCells>
  <pageMargins left="0.76" right="0.17" top="0.6" bottom="0.66" header="0.67" footer="0.66"/>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6"/>
  <sheetViews>
    <sheetView view="pageBreakPreview" zoomScale="70" zoomScaleNormal="70" zoomScaleSheetLayoutView="70" workbookViewId="0">
      <selection activeCell="G6" sqref="G6"/>
    </sheetView>
  </sheetViews>
  <sheetFormatPr defaultColWidth="9.140625" defaultRowHeight="20.25"/>
  <cols>
    <col min="1" max="1" width="9.28515625" style="98" customWidth="1"/>
    <col min="2" max="2" width="40.28515625" style="100" customWidth="1"/>
    <col min="3" max="3" width="16.85546875" style="144" customWidth="1"/>
    <col min="4" max="4" width="8.7109375" style="115" customWidth="1"/>
    <col min="5" max="5" width="12.140625" style="115" customWidth="1"/>
    <col min="6" max="6" width="7.140625" style="145" customWidth="1"/>
    <col min="7" max="7" width="18.7109375" style="116" customWidth="1"/>
    <col min="8" max="8" width="14.140625" style="150" customWidth="1"/>
    <col min="9" max="9" width="14.140625" style="1" customWidth="1"/>
    <col min="10" max="10" width="26.140625" style="1" customWidth="1"/>
    <col min="11" max="11" width="13.42578125" style="1" bestFit="1" customWidth="1"/>
    <col min="12" max="12" width="27.7109375" style="1" customWidth="1"/>
    <col min="13" max="13" width="17.85546875" style="1" customWidth="1"/>
    <col min="14" max="16384" width="9.140625" style="1"/>
  </cols>
  <sheetData>
    <row r="1" spans="1:11" ht="27" customHeight="1">
      <c r="A1" s="362" t="s">
        <v>528</v>
      </c>
      <c r="B1" s="362"/>
      <c r="C1" s="362"/>
      <c r="D1" s="362"/>
      <c r="E1" s="362"/>
      <c r="F1" s="362"/>
      <c r="G1" s="362"/>
      <c r="H1" s="362"/>
    </row>
    <row r="2" spans="1:11" s="2" customFormat="1" ht="37.5" customHeight="1">
      <c r="A2" s="362" t="s">
        <v>1</v>
      </c>
      <c r="B2" s="362"/>
      <c r="C2" s="362"/>
      <c r="D2" s="362"/>
      <c r="E2" s="362"/>
      <c r="F2" s="362"/>
      <c r="G2" s="362"/>
      <c r="H2" s="362"/>
    </row>
    <row r="3" spans="1:11" s="2" customFormat="1" ht="33.75" customHeight="1">
      <c r="A3" s="379" t="s">
        <v>578</v>
      </c>
      <c r="B3" s="379"/>
      <c r="C3" s="379"/>
      <c r="D3" s="379"/>
      <c r="E3" s="379"/>
      <c r="F3" s="379"/>
      <c r="G3" s="379"/>
      <c r="H3" s="379"/>
    </row>
    <row r="4" spans="1:11" s="6" customFormat="1" ht="41.25" customHeight="1">
      <c r="A4" s="7" t="s">
        <v>2</v>
      </c>
      <c r="B4" s="16" t="s">
        <v>31</v>
      </c>
      <c r="C4" s="16" t="s">
        <v>32</v>
      </c>
      <c r="D4" s="169" t="s">
        <v>33</v>
      </c>
      <c r="E4" s="17" t="s">
        <v>34</v>
      </c>
      <c r="F4" s="174" t="s">
        <v>35</v>
      </c>
      <c r="G4" s="17" t="s">
        <v>36</v>
      </c>
      <c r="H4" s="21"/>
    </row>
    <row r="5" spans="1:11" s="26" customFormat="1" ht="34.5" customHeight="1">
      <c r="A5" s="22">
        <v>1</v>
      </c>
      <c r="B5" s="24">
        <v>21</v>
      </c>
      <c r="C5" s="23">
        <v>22</v>
      </c>
      <c r="D5" s="22">
        <v>23</v>
      </c>
      <c r="E5" s="23">
        <v>24</v>
      </c>
      <c r="F5" s="24">
        <v>25</v>
      </c>
      <c r="G5" s="25" t="s">
        <v>40</v>
      </c>
      <c r="H5" s="25">
        <v>34</v>
      </c>
    </row>
    <row r="6" spans="1:11" s="31" customFormat="1" ht="34.5" customHeight="1">
      <c r="A6" s="383" t="s">
        <v>43</v>
      </c>
      <c r="B6" s="384"/>
      <c r="C6" s="30"/>
      <c r="D6" s="30">
        <f>SUM(D7:D30)</f>
        <v>0</v>
      </c>
      <c r="E6" s="30"/>
      <c r="F6" s="30"/>
      <c r="G6" s="168">
        <f>SUM(G7:G30)</f>
        <v>1426721240</v>
      </c>
      <c r="H6" s="30"/>
      <c r="I6" s="26"/>
      <c r="J6" s="26"/>
      <c r="K6" s="26"/>
    </row>
    <row r="7" spans="1:11" s="47" customFormat="1" ht="38.25" customHeight="1">
      <c r="A7" s="151">
        <v>1</v>
      </c>
      <c r="B7" s="194" t="s">
        <v>47</v>
      </c>
      <c r="C7" s="193">
        <v>49497</v>
      </c>
      <c r="D7" s="38" t="s">
        <v>48</v>
      </c>
      <c r="E7" s="41">
        <v>9500</v>
      </c>
      <c r="F7" s="43">
        <v>1</v>
      </c>
      <c r="G7" s="41">
        <f t="shared" ref="G7:G20" si="0">C7*E7*F7</f>
        <v>470221500</v>
      </c>
      <c r="H7" s="56"/>
      <c r="I7" s="46"/>
      <c r="J7" s="46"/>
      <c r="K7" s="46"/>
    </row>
    <row r="8" spans="1:11" s="47" customFormat="1" ht="38.25" customHeight="1">
      <c r="A8" s="151">
        <v>2</v>
      </c>
      <c r="B8" s="194" t="s">
        <v>51</v>
      </c>
      <c r="C8" s="193">
        <v>454</v>
      </c>
      <c r="D8" s="38" t="s">
        <v>52</v>
      </c>
      <c r="E8" s="41">
        <v>123000</v>
      </c>
      <c r="F8" s="43">
        <v>0.8</v>
      </c>
      <c r="G8" s="41">
        <f t="shared" si="0"/>
        <v>44673600</v>
      </c>
      <c r="H8" s="45"/>
      <c r="I8" s="46"/>
      <c r="J8" s="46"/>
      <c r="K8" s="46"/>
    </row>
    <row r="9" spans="1:11" s="47" customFormat="1" ht="38.25" customHeight="1">
      <c r="A9" s="151">
        <v>3</v>
      </c>
      <c r="B9" s="194" t="s">
        <v>51</v>
      </c>
      <c r="C9" s="193">
        <v>117</v>
      </c>
      <c r="D9" s="38" t="s">
        <v>52</v>
      </c>
      <c r="E9" s="41">
        <v>123000</v>
      </c>
      <c r="F9" s="43">
        <v>1</v>
      </c>
      <c r="G9" s="41">
        <f>C9*E9*F9</f>
        <v>14391000</v>
      </c>
      <c r="H9" s="45"/>
      <c r="I9" s="46"/>
      <c r="J9" s="46"/>
      <c r="K9" s="46"/>
    </row>
    <row r="10" spans="1:11" s="47" customFormat="1" ht="38.25" customHeight="1">
      <c r="A10" s="151">
        <v>4</v>
      </c>
      <c r="B10" s="194" t="s">
        <v>58</v>
      </c>
      <c r="C10" s="193">
        <v>1447.4</v>
      </c>
      <c r="D10" s="38" t="s">
        <v>48</v>
      </c>
      <c r="E10" s="41">
        <v>31000</v>
      </c>
      <c r="F10" s="43">
        <v>1</v>
      </c>
      <c r="G10" s="41">
        <f t="shared" si="0"/>
        <v>44869400</v>
      </c>
      <c r="H10" s="45"/>
      <c r="I10" s="46"/>
      <c r="J10" s="46"/>
      <c r="K10" s="46"/>
    </row>
    <row r="11" spans="1:11" s="47" customFormat="1" ht="38.25" customHeight="1">
      <c r="A11" s="151">
        <v>5</v>
      </c>
      <c r="B11" s="194" t="s">
        <v>66</v>
      </c>
      <c r="C11" s="193">
        <v>17</v>
      </c>
      <c r="D11" s="38" t="s">
        <v>52</v>
      </c>
      <c r="E11" s="41">
        <v>623000</v>
      </c>
      <c r="F11" s="43">
        <v>0.8</v>
      </c>
      <c r="G11" s="41">
        <f t="shared" si="0"/>
        <v>8472800</v>
      </c>
      <c r="H11" s="45"/>
      <c r="I11" s="46"/>
      <c r="J11" s="46"/>
      <c r="K11" s="46"/>
    </row>
    <row r="12" spans="1:11" s="47" customFormat="1" ht="38.25" customHeight="1">
      <c r="A12" s="151">
        <v>6</v>
      </c>
      <c r="B12" s="194" t="s">
        <v>68</v>
      </c>
      <c r="C12" s="193">
        <v>1258</v>
      </c>
      <c r="D12" s="38" t="s">
        <v>52</v>
      </c>
      <c r="E12" s="41">
        <v>163000</v>
      </c>
      <c r="F12" s="43">
        <v>0.8</v>
      </c>
      <c r="G12" s="41">
        <f t="shared" si="0"/>
        <v>164043200</v>
      </c>
      <c r="H12" s="45"/>
      <c r="I12" s="46"/>
      <c r="J12" s="46"/>
      <c r="K12" s="46"/>
    </row>
    <row r="13" spans="1:11" s="47" customFormat="1" ht="38.25" customHeight="1">
      <c r="A13" s="151">
        <v>7</v>
      </c>
      <c r="B13" s="194" t="s">
        <v>78</v>
      </c>
      <c r="C13" s="193">
        <v>282</v>
      </c>
      <c r="D13" s="38" t="s">
        <v>52</v>
      </c>
      <c r="E13" s="41">
        <v>118000</v>
      </c>
      <c r="F13" s="43">
        <v>1</v>
      </c>
      <c r="G13" s="41">
        <f t="shared" si="0"/>
        <v>33276000</v>
      </c>
      <c r="H13" s="45"/>
      <c r="I13" s="46"/>
      <c r="J13" s="46"/>
      <c r="K13" s="46"/>
    </row>
    <row r="14" spans="1:11" s="47" customFormat="1" ht="38.25" customHeight="1">
      <c r="A14" s="151">
        <v>8</v>
      </c>
      <c r="B14" s="194" t="s">
        <v>80</v>
      </c>
      <c r="C14" s="193">
        <v>11</v>
      </c>
      <c r="D14" s="38" t="s">
        <v>52</v>
      </c>
      <c r="E14" s="41">
        <v>1000000</v>
      </c>
      <c r="F14" s="43">
        <v>1</v>
      </c>
      <c r="G14" s="41">
        <f t="shared" si="0"/>
        <v>11000000</v>
      </c>
      <c r="H14" s="50"/>
      <c r="I14" s="46"/>
      <c r="J14" s="46"/>
      <c r="K14" s="46"/>
    </row>
    <row r="15" spans="1:11" s="47" customFormat="1" ht="38.25" customHeight="1">
      <c r="A15" s="151">
        <v>9</v>
      </c>
      <c r="B15" s="194" t="s">
        <v>81</v>
      </c>
      <c r="C15" s="193">
        <v>125</v>
      </c>
      <c r="D15" s="38" t="s">
        <v>52</v>
      </c>
      <c r="E15" s="41">
        <v>163000</v>
      </c>
      <c r="F15" s="43">
        <v>1</v>
      </c>
      <c r="G15" s="41">
        <f t="shared" si="0"/>
        <v>20375000</v>
      </c>
      <c r="H15" s="45"/>
      <c r="I15" s="46"/>
      <c r="J15" s="46"/>
      <c r="K15" s="46"/>
    </row>
    <row r="16" spans="1:11" s="47" customFormat="1" ht="38.25" customHeight="1">
      <c r="A16" s="151">
        <v>10</v>
      </c>
      <c r="B16" s="194" t="s">
        <v>85</v>
      </c>
      <c r="C16" s="193">
        <v>1625.7</v>
      </c>
      <c r="D16" s="38" t="s">
        <v>48</v>
      </c>
      <c r="E16" s="41">
        <v>43000</v>
      </c>
      <c r="F16" s="43">
        <v>1</v>
      </c>
      <c r="G16" s="41">
        <f t="shared" si="0"/>
        <v>69905100</v>
      </c>
      <c r="H16" s="45"/>
      <c r="I16" s="46"/>
      <c r="J16" s="46"/>
      <c r="K16" s="46"/>
    </row>
    <row r="17" spans="1:12" s="47" customFormat="1" ht="38.25" customHeight="1">
      <c r="A17" s="151">
        <v>11</v>
      </c>
      <c r="B17" s="194" t="s">
        <v>87</v>
      </c>
      <c r="C17" s="193">
        <v>51</v>
      </c>
      <c r="D17" s="38" t="s">
        <v>52</v>
      </c>
      <c r="E17" s="41">
        <v>1091000</v>
      </c>
      <c r="F17" s="43">
        <v>0.8</v>
      </c>
      <c r="G17" s="41">
        <f t="shared" si="0"/>
        <v>44512800</v>
      </c>
      <c r="H17" s="45"/>
      <c r="I17" s="46"/>
      <c r="J17" s="46"/>
      <c r="K17" s="46"/>
    </row>
    <row r="18" spans="1:12" s="47" customFormat="1" ht="38.25" customHeight="1">
      <c r="A18" s="151">
        <v>12</v>
      </c>
      <c r="B18" s="194" t="s">
        <v>90</v>
      </c>
      <c r="C18" s="193">
        <v>174.8</v>
      </c>
      <c r="D18" s="38" t="s">
        <v>52</v>
      </c>
      <c r="E18" s="41">
        <v>300000</v>
      </c>
      <c r="F18" s="43">
        <v>1</v>
      </c>
      <c r="G18" s="41">
        <f t="shared" si="0"/>
        <v>52440000</v>
      </c>
      <c r="H18" s="45"/>
      <c r="I18" s="46"/>
      <c r="J18" s="46"/>
      <c r="K18" s="46"/>
    </row>
    <row r="19" spans="1:12" s="47" customFormat="1" ht="38.25" customHeight="1">
      <c r="A19" s="151">
        <v>13</v>
      </c>
      <c r="B19" s="194" t="s">
        <v>97</v>
      </c>
      <c r="C19" s="193">
        <v>1119.8</v>
      </c>
      <c r="D19" s="38" t="s">
        <v>48</v>
      </c>
      <c r="E19" s="41">
        <v>58300</v>
      </c>
      <c r="F19" s="43">
        <v>1</v>
      </c>
      <c r="G19" s="41">
        <f t="shared" si="0"/>
        <v>65284340</v>
      </c>
      <c r="H19" s="45"/>
      <c r="I19" s="46"/>
      <c r="J19" s="46"/>
      <c r="K19" s="46"/>
    </row>
    <row r="20" spans="1:12" s="47" customFormat="1" ht="38.25" customHeight="1">
      <c r="A20" s="151">
        <v>14</v>
      </c>
      <c r="B20" s="194" t="s">
        <v>100</v>
      </c>
      <c r="C20" s="193">
        <v>465.6</v>
      </c>
      <c r="D20" s="38" t="s">
        <v>52</v>
      </c>
      <c r="E20" s="41">
        <v>118000</v>
      </c>
      <c r="F20" s="43">
        <v>0.8</v>
      </c>
      <c r="G20" s="41">
        <f t="shared" si="0"/>
        <v>43952640</v>
      </c>
      <c r="H20" s="45"/>
      <c r="I20" s="46"/>
      <c r="J20" s="46"/>
      <c r="K20" s="46"/>
    </row>
    <row r="21" spans="1:12" s="68" customFormat="1" ht="38.25" customHeight="1">
      <c r="A21" s="151">
        <v>15</v>
      </c>
      <c r="B21" s="194" t="s">
        <v>65</v>
      </c>
      <c r="C21" s="193">
        <v>1692.7</v>
      </c>
      <c r="D21" s="38" t="s">
        <v>48</v>
      </c>
      <c r="E21" s="41">
        <v>33800</v>
      </c>
      <c r="F21" s="43">
        <v>1</v>
      </c>
      <c r="G21" s="41">
        <f t="shared" ref="G21:G24" si="1">C21*E21*F21</f>
        <v>57213260</v>
      </c>
      <c r="H21" s="45"/>
      <c r="I21" s="67"/>
      <c r="J21" s="67"/>
      <c r="K21" s="67"/>
    </row>
    <row r="22" spans="1:12" s="68" customFormat="1" ht="38.25" customHeight="1">
      <c r="A22" s="151">
        <v>16</v>
      </c>
      <c r="B22" s="194" t="s">
        <v>133</v>
      </c>
      <c r="C22" s="193">
        <v>159</v>
      </c>
      <c r="D22" s="38" t="s">
        <v>52</v>
      </c>
      <c r="E22" s="41">
        <v>125000</v>
      </c>
      <c r="F22" s="43">
        <v>0.8</v>
      </c>
      <c r="G22" s="41">
        <f>C22*E22*F22</f>
        <v>15900000</v>
      </c>
      <c r="H22" s="45"/>
      <c r="I22" s="67"/>
      <c r="J22" s="67"/>
      <c r="K22" s="67"/>
    </row>
    <row r="23" spans="1:12" s="47" customFormat="1" ht="38.25" customHeight="1">
      <c r="A23" s="151">
        <v>17</v>
      </c>
      <c r="B23" s="194" t="s">
        <v>138</v>
      </c>
      <c r="C23" s="193">
        <v>724.6</v>
      </c>
      <c r="D23" s="38" t="s">
        <v>52</v>
      </c>
      <c r="E23" s="41">
        <v>300000</v>
      </c>
      <c r="F23" s="43">
        <v>0.8</v>
      </c>
      <c r="G23" s="41">
        <f t="shared" si="1"/>
        <v>173904000</v>
      </c>
      <c r="H23" s="45"/>
      <c r="I23" s="46"/>
      <c r="J23" s="46"/>
      <c r="K23" s="46"/>
    </row>
    <row r="24" spans="1:12" s="47" customFormat="1" ht="38.25" customHeight="1">
      <c r="A24" s="151">
        <v>18</v>
      </c>
      <c r="B24" s="194" t="s">
        <v>175</v>
      </c>
      <c r="C24" s="193">
        <v>173</v>
      </c>
      <c r="D24" s="38" t="s">
        <v>52</v>
      </c>
      <c r="E24" s="41">
        <v>40000</v>
      </c>
      <c r="F24" s="43">
        <v>0.8</v>
      </c>
      <c r="G24" s="41">
        <f t="shared" si="1"/>
        <v>5536000</v>
      </c>
      <c r="H24" s="45"/>
      <c r="I24" s="46"/>
      <c r="J24" s="46"/>
      <c r="K24" s="46"/>
    </row>
    <row r="25" spans="1:12" s="47" customFormat="1" ht="38.25" customHeight="1">
      <c r="A25" s="151">
        <v>19</v>
      </c>
      <c r="B25" s="194" t="s">
        <v>250</v>
      </c>
      <c r="C25" s="193">
        <v>1</v>
      </c>
      <c r="D25" s="38" t="s">
        <v>52</v>
      </c>
      <c r="E25" s="41">
        <v>310000</v>
      </c>
      <c r="F25" s="43">
        <v>0.8</v>
      </c>
      <c r="G25" s="41">
        <f t="shared" ref="G25:G26" si="2">C25*E25*F25</f>
        <v>248000</v>
      </c>
      <c r="H25" s="45"/>
      <c r="I25" s="46"/>
      <c r="J25" s="46"/>
      <c r="K25" s="46"/>
    </row>
    <row r="26" spans="1:12" s="47" customFormat="1" ht="38.25" customHeight="1">
      <c r="A26" s="151">
        <v>20</v>
      </c>
      <c r="B26" s="194" t="s">
        <v>283</v>
      </c>
      <c r="C26" s="193">
        <v>393.8</v>
      </c>
      <c r="D26" s="38" t="s">
        <v>52</v>
      </c>
      <c r="E26" s="41">
        <v>136000</v>
      </c>
      <c r="F26" s="43">
        <v>1</v>
      </c>
      <c r="G26" s="41">
        <f t="shared" si="2"/>
        <v>53556800</v>
      </c>
      <c r="H26" s="45"/>
      <c r="I26" s="46"/>
      <c r="J26" s="46"/>
      <c r="K26" s="46"/>
    </row>
    <row r="27" spans="1:12" s="47" customFormat="1" ht="38.25" customHeight="1">
      <c r="A27" s="151">
        <v>21</v>
      </c>
      <c r="B27" s="194" t="s">
        <v>250</v>
      </c>
      <c r="C27" s="193">
        <v>1</v>
      </c>
      <c r="D27" s="38" t="s">
        <v>52</v>
      </c>
      <c r="E27" s="41">
        <v>235000</v>
      </c>
      <c r="F27" s="43">
        <v>0.8</v>
      </c>
      <c r="G27" s="41">
        <f t="shared" ref="G27" si="3">C27*E27*F27</f>
        <v>188000</v>
      </c>
      <c r="H27" s="45"/>
      <c r="I27" s="46"/>
      <c r="J27" s="46"/>
      <c r="K27" s="46"/>
    </row>
    <row r="28" spans="1:12" s="47" customFormat="1" ht="38.25" customHeight="1">
      <c r="A28" s="151">
        <v>22</v>
      </c>
      <c r="B28" s="194" t="s">
        <v>175</v>
      </c>
      <c r="C28" s="193">
        <v>64</v>
      </c>
      <c r="D28" s="38" t="s">
        <v>52</v>
      </c>
      <c r="E28" s="41">
        <v>40000</v>
      </c>
      <c r="F28" s="43">
        <v>1</v>
      </c>
      <c r="G28" s="41">
        <f t="shared" ref="G28" si="4">C28*E28*F28</f>
        <v>2560000</v>
      </c>
      <c r="H28" s="45"/>
      <c r="I28" s="46"/>
      <c r="J28" s="46"/>
      <c r="K28" s="46"/>
    </row>
    <row r="29" spans="1:12" s="68" customFormat="1" ht="38.25" customHeight="1">
      <c r="A29" s="151">
        <v>23</v>
      </c>
      <c r="B29" s="194" t="s">
        <v>454</v>
      </c>
      <c r="C29" s="193">
        <v>292</v>
      </c>
      <c r="D29" s="38" t="s">
        <v>52</v>
      </c>
      <c r="E29" s="41">
        <v>44500</v>
      </c>
      <c r="F29" s="43">
        <v>1</v>
      </c>
      <c r="G29" s="41">
        <f>C29*E29*F29</f>
        <v>12994000</v>
      </c>
      <c r="H29" s="45"/>
      <c r="I29" s="195"/>
      <c r="J29" s="67"/>
      <c r="K29" s="67"/>
      <c r="L29" s="67"/>
    </row>
    <row r="30" spans="1:12" s="47" customFormat="1" ht="38.25" customHeight="1">
      <c r="A30" s="32">
        <v>24</v>
      </c>
      <c r="B30" s="194" t="s">
        <v>479</v>
      </c>
      <c r="C30" s="193">
        <v>324.60000000000002</v>
      </c>
      <c r="D30" s="38" t="s">
        <v>48</v>
      </c>
      <c r="E30" s="41">
        <v>53000</v>
      </c>
      <c r="F30" s="43">
        <v>1</v>
      </c>
      <c r="G30" s="41">
        <f t="shared" ref="G30" si="5">C30*E30*F30</f>
        <v>17203800</v>
      </c>
      <c r="H30" s="45"/>
      <c r="I30" s="196"/>
      <c r="J30" s="46"/>
      <c r="K30" s="46"/>
      <c r="L30" s="46"/>
    </row>
    <row r="31" spans="1:12" ht="11.25" customHeight="1">
      <c r="B31" s="123"/>
      <c r="C31" s="112"/>
      <c r="D31" s="113"/>
      <c r="E31" s="99"/>
      <c r="F31" s="101"/>
      <c r="G31" s="114"/>
      <c r="H31" s="125"/>
    </row>
    <row r="32" spans="1:12" ht="25.5" customHeight="1">
      <c r="B32" s="123"/>
      <c r="C32" s="112"/>
      <c r="D32" s="359"/>
      <c r="E32" s="359"/>
      <c r="F32" s="359"/>
      <c r="G32" s="359"/>
      <c r="H32" s="359"/>
    </row>
    <row r="33" spans="2:8" ht="29.25" customHeight="1">
      <c r="B33" s="123"/>
      <c r="C33" s="112"/>
      <c r="D33" s="359"/>
      <c r="E33" s="359"/>
      <c r="F33" s="359"/>
      <c r="G33" s="359"/>
      <c r="H33" s="359"/>
    </row>
    <row r="34" spans="2:8" ht="18.75" customHeight="1">
      <c r="B34" s="123"/>
      <c r="C34" s="112"/>
      <c r="D34" s="113"/>
      <c r="E34" s="99"/>
      <c r="F34" s="101"/>
      <c r="G34" s="114"/>
      <c r="H34" s="125"/>
    </row>
    <row r="35" spans="2:8" ht="18.75" customHeight="1">
      <c r="B35" s="123"/>
      <c r="C35" s="112"/>
      <c r="D35" s="113"/>
      <c r="E35" s="99"/>
      <c r="F35" s="101"/>
      <c r="G35" s="114"/>
      <c r="H35" s="125"/>
    </row>
    <row r="36" spans="2:8" ht="18.75" customHeight="1">
      <c r="B36" s="123"/>
      <c r="C36" s="112"/>
      <c r="D36" s="113"/>
      <c r="E36" s="99"/>
      <c r="F36" s="101"/>
      <c r="G36" s="127"/>
      <c r="H36" s="127"/>
    </row>
    <row r="37" spans="2:8" ht="22.5">
      <c r="B37" s="123"/>
      <c r="C37" s="112"/>
      <c r="D37" s="113"/>
      <c r="E37" s="99"/>
      <c r="F37" s="101"/>
      <c r="G37" s="129"/>
      <c r="H37" s="129"/>
    </row>
    <row r="38" spans="2:8" ht="18.75" customHeight="1">
      <c r="B38" s="123"/>
      <c r="C38" s="112"/>
      <c r="D38" s="113"/>
      <c r="E38" s="99"/>
      <c r="F38" s="101"/>
      <c r="G38" s="114"/>
      <c r="H38" s="125"/>
    </row>
    <row r="39" spans="2:8" ht="18.75" customHeight="1">
      <c r="H39" s="148"/>
    </row>
    <row r="40" spans="2:8" ht="30.75" customHeight="1">
      <c r="D40" s="360"/>
      <c r="E40" s="361"/>
      <c r="F40" s="361"/>
      <c r="G40" s="361"/>
      <c r="H40" s="361"/>
    </row>
    <row r="41" spans="2:8" ht="18.75" customHeight="1">
      <c r="H41" s="148"/>
    </row>
    <row r="42" spans="2:8" ht="18.75" customHeight="1">
      <c r="H42" s="148"/>
    </row>
    <row r="43" spans="2:8" ht="18.75" customHeight="1">
      <c r="H43" s="148"/>
    </row>
    <row r="44" spans="2:8" ht="18.75" customHeight="1">
      <c r="H44" s="148"/>
    </row>
    <row r="45" spans="2:8" ht="18.75" customHeight="1">
      <c r="H45" s="148"/>
    </row>
    <row r="46" spans="2:8" ht="18.75" customHeight="1">
      <c r="H46" s="148"/>
    </row>
    <row r="47" spans="2:8" ht="18.75" customHeight="1">
      <c r="H47" s="148"/>
    </row>
    <row r="48" spans="2:8" ht="18.75" customHeight="1">
      <c r="H48" s="148"/>
    </row>
    <row r="49" spans="8:8" ht="18.75" customHeight="1">
      <c r="H49" s="148"/>
    </row>
    <row r="50" spans="8:8" ht="18.75" customHeight="1">
      <c r="H50" s="148"/>
    </row>
    <row r="51" spans="8:8" ht="18.75" customHeight="1">
      <c r="H51" s="148"/>
    </row>
    <row r="52" spans="8:8" ht="18.75" customHeight="1">
      <c r="H52" s="148"/>
    </row>
    <row r="53" spans="8:8" ht="18.75" customHeight="1">
      <c r="H53" s="148"/>
    </row>
    <row r="54" spans="8:8" ht="18.75" customHeight="1">
      <c r="H54" s="148"/>
    </row>
    <row r="55" spans="8:8" ht="18.75" customHeight="1">
      <c r="H55" s="149"/>
    </row>
    <row r="56" spans="8:8" ht="18.75" customHeight="1"/>
  </sheetData>
  <autoFilter ref="A5:Q30"/>
  <mergeCells count="7">
    <mergeCell ref="D32:H32"/>
    <mergeCell ref="D33:H33"/>
    <mergeCell ref="D40:H40"/>
    <mergeCell ref="A6:B6"/>
    <mergeCell ref="A1:H1"/>
    <mergeCell ref="A2:H2"/>
    <mergeCell ref="A3:H3"/>
  </mergeCells>
  <pageMargins left="1.02" right="0.17" top="0.53" bottom="0.43" header="0.55000000000000004" footer="0.45"/>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tabSelected="1" workbookViewId="0">
      <selection activeCell="D36" sqref="D36"/>
    </sheetView>
  </sheetViews>
  <sheetFormatPr defaultRowHeight="15"/>
  <cols>
    <col min="1" max="1" width="6" customWidth="1"/>
    <col min="2" max="2" width="68.7109375" customWidth="1"/>
    <col min="3" max="3" width="9.5703125" customWidth="1"/>
    <col min="4" max="4" width="13" customWidth="1"/>
    <col min="5" max="5" width="14.42578125" customWidth="1"/>
    <col min="6" max="6" width="7.85546875" customWidth="1"/>
    <col min="7" max="7" width="20.5703125" customWidth="1"/>
    <col min="8" max="8" width="8.7109375" customWidth="1"/>
    <col min="9" max="9" width="29.28515625" customWidth="1"/>
  </cols>
  <sheetData>
    <row r="1" spans="1:14" ht="27.75" customHeight="1">
      <c r="A1" s="399" t="s">
        <v>550</v>
      </c>
      <c r="B1" s="399"/>
      <c r="C1" s="399"/>
      <c r="D1" s="399"/>
      <c r="E1" s="399"/>
      <c r="F1" s="399"/>
      <c r="G1" s="399"/>
      <c r="H1" s="399"/>
      <c r="I1" s="197"/>
      <c r="J1" s="197"/>
      <c r="K1" s="197"/>
      <c r="L1" s="197"/>
      <c r="M1" s="197"/>
      <c r="N1" s="197"/>
    </row>
    <row r="2" spans="1:14" ht="27.75" customHeight="1">
      <c r="A2" s="404" t="s">
        <v>551</v>
      </c>
      <c r="B2" s="404"/>
      <c r="C2" s="404"/>
      <c r="D2" s="404"/>
      <c r="E2" s="404"/>
      <c r="F2" s="404"/>
      <c r="G2" s="404"/>
      <c r="H2" s="404"/>
      <c r="I2" s="197"/>
      <c r="J2" s="197"/>
      <c r="K2" s="197"/>
      <c r="L2" s="197"/>
      <c r="M2" s="197"/>
      <c r="N2" s="197"/>
    </row>
    <row r="3" spans="1:14" ht="27" customHeight="1">
      <c r="A3" s="405" t="s">
        <v>529</v>
      </c>
      <c r="B3" s="405"/>
      <c r="C3" s="405"/>
      <c r="D3" s="405"/>
      <c r="E3" s="405"/>
      <c r="F3" s="405"/>
      <c r="G3" s="405"/>
      <c r="H3" s="405"/>
      <c r="I3" s="197"/>
      <c r="J3" s="197"/>
      <c r="K3" s="197"/>
      <c r="L3" s="197"/>
      <c r="M3" s="197"/>
      <c r="N3" s="197"/>
    </row>
    <row r="4" spans="1:14" ht="47.25" customHeight="1">
      <c r="A4" s="238" t="s">
        <v>2</v>
      </c>
      <c r="B4" s="198" t="s">
        <v>530</v>
      </c>
      <c r="C4" s="198" t="s">
        <v>33</v>
      </c>
      <c r="D4" s="198" t="s">
        <v>32</v>
      </c>
      <c r="E4" s="198" t="s">
        <v>531</v>
      </c>
      <c r="F4" s="198" t="s">
        <v>532</v>
      </c>
      <c r="G4" s="198" t="s">
        <v>533</v>
      </c>
      <c r="H4" s="198" t="s">
        <v>16</v>
      </c>
      <c r="I4" s="197"/>
      <c r="J4" s="197"/>
      <c r="K4" s="197"/>
      <c r="L4" s="197"/>
      <c r="M4" s="197"/>
      <c r="N4" s="197"/>
    </row>
    <row r="5" spans="1:14" ht="15.75">
      <c r="A5" s="199">
        <v>1</v>
      </c>
      <c r="B5" s="199">
        <v>2</v>
      </c>
      <c r="C5" s="199">
        <v>3</v>
      </c>
      <c r="D5" s="199">
        <v>4</v>
      </c>
      <c r="E5" s="199">
        <v>5</v>
      </c>
      <c r="F5" s="199">
        <v>6</v>
      </c>
      <c r="G5" s="199" t="s">
        <v>534</v>
      </c>
      <c r="H5" s="199">
        <v>8</v>
      </c>
      <c r="I5" s="197"/>
      <c r="J5" s="197"/>
      <c r="K5" s="197"/>
      <c r="L5" s="197"/>
      <c r="M5" s="197"/>
      <c r="N5" s="197"/>
    </row>
    <row r="6" spans="1:14" s="292" customFormat="1" ht="27.75" customHeight="1">
      <c r="A6" s="293" t="s">
        <v>535</v>
      </c>
      <c r="B6" s="401" t="s">
        <v>608</v>
      </c>
      <c r="C6" s="402"/>
      <c r="D6" s="403"/>
      <c r="E6" s="303"/>
      <c r="F6" s="304"/>
      <c r="G6" s="305">
        <f>G7+G28</f>
        <v>23995466640</v>
      </c>
      <c r="H6" s="306"/>
      <c r="I6" s="291"/>
      <c r="J6" s="291"/>
      <c r="K6" s="291"/>
      <c r="L6" s="291"/>
      <c r="M6" s="291"/>
      <c r="N6" s="291"/>
    </row>
    <row r="7" spans="1:14" ht="27.75" customHeight="1">
      <c r="A7" s="198" t="s">
        <v>606</v>
      </c>
      <c r="B7" s="200" t="s">
        <v>607</v>
      </c>
      <c r="C7" s="201"/>
      <c r="D7" s="202"/>
      <c r="E7" s="203"/>
      <c r="F7" s="204"/>
      <c r="G7" s="205">
        <f>G8+G13+G14+G15+G26</f>
        <v>23870106640</v>
      </c>
      <c r="H7" s="206"/>
      <c r="I7" s="266"/>
      <c r="J7" s="197"/>
      <c r="K7" s="197"/>
      <c r="L7" s="197"/>
      <c r="M7" s="197"/>
      <c r="N7" s="197"/>
    </row>
    <row r="8" spans="1:14" ht="23.25" customHeight="1">
      <c r="A8" s="207" t="s">
        <v>536</v>
      </c>
      <c r="B8" s="208" t="s">
        <v>537</v>
      </c>
      <c r="C8" s="209"/>
      <c r="D8" s="210">
        <f>SUM(D9:D13)</f>
        <v>76403.5</v>
      </c>
      <c r="E8" s="211"/>
      <c r="F8" s="212"/>
      <c r="G8" s="211">
        <f>SUM(G9:G12)</f>
        <v>4519124000</v>
      </c>
      <c r="H8" s="213"/>
      <c r="I8" s="266"/>
      <c r="J8" s="197"/>
      <c r="K8" s="197"/>
      <c r="L8" s="197"/>
      <c r="M8" s="197"/>
      <c r="N8" s="197"/>
    </row>
    <row r="9" spans="1:14" ht="30" customHeight="1">
      <c r="A9" s="214">
        <v>1</v>
      </c>
      <c r="B9" s="215" t="s">
        <v>558</v>
      </c>
      <c r="C9" s="214" t="s">
        <v>538</v>
      </c>
      <c r="D9" s="287">
        <v>25418.5</v>
      </c>
      <c r="E9" s="217">
        <v>60000</v>
      </c>
      <c r="F9" s="218">
        <v>1</v>
      </c>
      <c r="G9" s="217">
        <f>D9*E9</f>
        <v>1525110000</v>
      </c>
      <c r="H9" s="219"/>
      <c r="I9" s="266"/>
      <c r="J9" s="197"/>
      <c r="K9" s="197"/>
      <c r="L9" s="197"/>
      <c r="M9" s="197"/>
      <c r="N9" s="197"/>
    </row>
    <row r="10" spans="1:14" ht="32.25" customHeight="1">
      <c r="A10" s="214">
        <v>2</v>
      </c>
      <c r="B10" s="262" t="s">
        <v>556</v>
      </c>
      <c r="C10" s="214" t="s">
        <v>538</v>
      </c>
      <c r="D10" s="287">
        <v>5806.5</v>
      </c>
      <c r="E10" s="217">
        <v>60000</v>
      </c>
      <c r="F10" s="218">
        <v>1</v>
      </c>
      <c r="G10" s="217">
        <f t="shared" ref="G10:G12" si="0">D10*E10</f>
        <v>348390000</v>
      </c>
      <c r="H10" s="219"/>
      <c r="I10" s="266"/>
      <c r="J10" s="197"/>
      <c r="K10" s="197"/>
      <c r="L10" s="197"/>
      <c r="M10" s="197"/>
      <c r="N10" s="197"/>
    </row>
    <row r="11" spans="1:14" ht="32.25" customHeight="1">
      <c r="A11" s="214">
        <v>3</v>
      </c>
      <c r="B11" s="262" t="s">
        <v>557</v>
      </c>
      <c r="C11" s="214" t="s">
        <v>538</v>
      </c>
      <c r="D11" s="287">
        <v>40449.800000000003</v>
      </c>
      <c r="E11" s="217">
        <v>60000</v>
      </c>
      <c r="F11" s="218">
        <v>1</v>
      </c>
      <c r="G11" s="217">
        <f t="shared" si="0"/>
        <v>2426988000</v>
      </c>
      <c r="H11" s="219"/>
      <c r="I11" s="266"/>
      <c r="J11" s="197"/>
      <c r="K11" s="197"/>
      <c r="L11" s="197"/>
      <c r="M11" s="197"/>
      <c r="N11" s="197"/>
    </row>
    <row r="12" spans="1:14" ht="32.25" customHeight="1">
      <c r="A12" s="214">
        <v>4</v>
      </c>
      <c r="B12" s="262" t="s">
        <v>559</v>
      </c>
      <c r="C12" s="214" t="s">
        <v>538</v>
      </c>
      <c r="D12" s="216">
        <v>3975.2</v>
      </c>
      <c r="E12" s="217">
        <v>55000</v>
      </c>
      <c r="F12" s="218">
        <v>1</v>
      </c>
      <c r="G12" s="217">
        <f t="shared" si="0"/>
        <v>218636000</v>
      </c>
      <c r="H12" s="219"/>
      <c r="I12" s="266"/>
      <c r="J12" s="197"/>
      <c r="K12" s="197"/>
      <c r="L12" s="197"/>
      <c r="M12" s="197"/>
      <c r="N12" s="197"/>
    </row>
    <row r="13" spans="1:14" ht="42.75" customHeight="1">
      <c r="A13" s="220" t="s">
        <v>539</v>
      </c>
      <c r="B13" s="221" t="s">
        <v>560</v>
      </c>
      <c r="C13" s="198" t="s">
        <v>540</v>
      </c>
      <c r="D13" s="222">
        <f>'PA bồi thường'!N10</f>
        <v>753.5</v>
      </c>
      <c r="E13" s="223">
        <v>30000</v>
      </c>
      <c r="F13" s="224">
        <v>1</v>
      </c>
      <c r="G13" s="223">
        <f>D13*E13</f>
        <v>22605000</v>
      </c>
      <c r="H13" s="219"/>
      <c r="I13" s="266"/>
      <c r="J13" s="197"/>
      <c r="K13" s="197"/>
      <c r="L13" s="197"/>
      <c r="M13" s="197"/>
      <c r="N13" s="197"/>
    </row>
    <row r="14" spans="1:14" ht="67.5" customHeight="1">
      <c r="A14" s="198" t="s">
        <v>541</v>
      </c>
      <c r="B14" s="406" t="s">
        <v>542</v>
      </c>
      <c r="C14" s="406"/>
      <c r="D14" s="406"/>
      <c r="E14" s="406"/>
      <c r="F14" s="406"/>
      <c r="G14" s="168">
        <v>1426721240</v>
      </c>
      <c r="H14" s="219"/>
      <c r="I14" s="266"/>
      <c r="J14" s="197"/>
      <c r="K14" s="197"/>
      <c r="L14" s="197"/>
      <c r="M14" s="197"/>
      <c r="N14" s="197"/>
    </row>
    <row r="15" spans="1:14" s="302" customFormat="1" ht="27.75" customHeight="1">
      <c r="A15" s="293" t="s">
        <v>543</v>
      </c>
      <c r="B15" s="294" t="s">
        <v>604</v>
      </c>
      <c r="C15" s="295"/>
      <c r="D15" s="296"/>
      <c r="E15" s="296"/>
      <c r="F15" s="297"/>
      <c r="G15" s="298">
        <f>G16+G19+G22+G23</f>
        <v>14875656400</v>
      </c>
      <c r="H15" s="299"/>
      <c r="I15" s="300"/>
      <c r="J15" s="301"/>
      <c r="K15" s="301"/>
      <c r="L15" s="301"/>
      <c r="M15" s="301"/>
      <c r="N15" s="301"/>
    </row>
    <row r="16" spans="1:14" s="302" customFormat="1" ht="27.75" customHeight="1">
      <c r="A16" s="293" t="s">
        <v>568</v>
      </c>
      <c r="B16" s="294" t="s">
        <v>573</v>
      </c>
      <c r="C16" s="295"/>
      <c r="D16" s="296"/>
      <c r="E16" s="296"/>
      <c r="F16" s="297"/>
      <c r="G16" s="298">
        <f>SUM(G17:G18)</f>
        <v>744574400</v>
      </c>
      <c r="H16" s="299"/>
      <c r="I16" s="300"/>
      <c r="J16" s="301"/>
      <c r="K16" s="301"/>
      <c r="L16" s="301"/>
      <c r="M16" s="301"/>
      <c r="N16" s="301"/>
    </row>
    <row r="17" spans="1:14" ht="31.5" customHeight="1">
      <c r="A17" s="214" t="s">
        <v>563</v>
      </c>
      <c r="B17" s="215" t="s">
        <v>561</v>
      </c>
      <c r="C17" s="214" t="s">
        <v>538</v>
      </c>
      <c r="D17" s="225">
        <f>D9+D10+D11</f>
        <v>71674.8</v>
      </c>
      <c r="E17" s="226">
        <v>10000</v>
      </c>
      <c r="F17" s="218">
        <v>1</v>
      </c>
      <c r="G17" s="226">
        <f>D17*E17</f>
        <v>716748000</v>
      </c>
      <c r="H17" s="227"/>
      <c r="I17" s="266"/>
      <c r="J17" s="197"/>
      <c r="K17" s="197"/>
      <c r="L17" s="197"/>
      <c r="M17" s="197"/>
      <c r="N17" s="197"/>
    </row>
    <row r="18" spans="1:14" ht="31.5" customHeight="1">
      <c r="A18" s="214" t="s">
        <v>562</v>
      </c>
      <c r="B18" s="215" t="s">
        <v>565</v>
      </c>
      <c r="C18" s="214" t="s">
        <v>538</v>
      </c>
      <c r="D18" s="225">
        <f>D12</f>
        <v>3975.2</v>
      </c>
      <c r="E18" s="226">
        <v>7000</v>
      </c>
      <c r="F18" s="218">
        <v>1</v>
      </c>
      <c r="G18" s="226">
        <f>D18*E18</f>
        <v>27826400</v>
      </c>
      <c r="H18" s="227"/>
      <c r="I18" s="266"/>
      <c r="J18" s="197"/>
      <c r="K18" s="197"/>
      <c r="L18" s="197"/>
      <c r="M18" s="197"/>
      <c r="N18" s="197"/>
    </row>
    <row r="19" spans="1:14" ht="40.5" customHeight="1">
      <c r="A19" s="198" t="s">
        <v>564</v>
      </c>
      <c r="B19" s="201" t="s">
        <v>574</v>
      </c>
      <c r="C19" s="214"/>
      <c r="D19" s="225"/>
      <c r="E19" s="226"/>
      <c r="F19" s="218"/>
      <c r="G19" s="264">
        <f>G20+G21</f>
        <v>13557372000</v>
      </c>
      <c r="H19" s="227"/>
      <c r="I19" s="266"/>
      <c r="J19" s="197"/>
      <c r="K19" s="197"/>
      <c r="L19" s="197"/>
      <c r="M19" s="197"/>
      <c r="N19" s="197"/>
    </row>
    <row r="20" spans="1:14" ht="30" customHeight="1">
      <c r="A20" s="214" t="s">
        <v>566</v>
      </c>
      <c r="B20" s="215" t="s">
        <v>561</v>
      </c>
      <c r="C20" s="214" t="s">
        <v>538</v>
      </c>
      <c r="D20" s="225">
        <f>D17</f>
        <v>71674.8</v>
      </c>
      <c r="E20" s="226">
        <v>180000</v>
      </c>
      <c r="F20" s="218">
        <v>1</v>
      </c>
      <c r="G20" s="226">
        <f>D20*E20</f>
        <v>12901464000</v>
      </c>
      <c r="H20" s="228"/>
      <c r="I20" s="266"/>
      <c r="J20" s="197"/>
      <c r="K20" s="197"/>
      <c r="L20" s="197"/>
      <c r="M20" s="197"/>
      <c r="N20" s="197"/>
    </row>
    <row r="21" spans="1:14" ht="32.25" customHeight="1">
      <c r="A21" s="214" t="s">
        <v>567</v>
      </c>
      <c r="B21" s="215" t="s">
        <v>565</v>
      </c>
      <c r="C21" s="214" t="s">
        <v>538</v>
      </c>
      <c r="D21" s="225">
        <f>D18</f>
        <v>3975.2</v>
      </c>
      <c r="E21" s="226">
        <v>165000</v>
      </c>
      <c r="F21" s="218">
        <v>1</v>
      </c>
      <c r="G21" s="226">
        <f>D21*E21</f>
        <v>655908000</v>
      </c>
      <c r="H21" s="228"/>
      <c r="I21" s="266"/>
      <c r="J21" s="197"/>
      <c r="K21" s="197"/>
      <c r="L21" s="197"/>
      <c r="M21" s="197"/>
      <c r="N21" s="197"/>
    </row>
    <row r="22" spans="1:14" ht="34.5" customHeight="1">
      <c r="A22" s="198" t="s">
        <v>569</v>
      </c>
      <c r="B22" s="201" t="s">
        <v>544</v>
      </c>
      <c r="C22" s="198" t="s">
        <v>540</v>
      </c>
      <c r="D22" s="263">
        <f>D13</f>
        <v>753.5</v>
      </c>
      <c r="E22" s="264">
        <v>60000</v>
      </c>
      <c r="F22" s="224">
        <v>1</v>
      </c>
      <c r="G22" s="264">
        <f>D22*E22</f>
        <v>45210000</v>
      </c>
      <c r="H22" s="228"/>
      <c r="I22" s="266"/>
      <c r="J22" s="197"/>
      <c r="K22" s="197"/>
      <c r="L22" s="197"/>
      <c r="M22" s="197"/>
      <c r="N22" s="197"/>
    </row>
    <row r="23" spans="1:14" ht="24.75" customHeight="1">
      <c r="A23" s="265" t="s">
        <v>571</v>
      </c>
      <c r="B23" s="201" t="s">
        <v>570</v>
      </c>
      <c r="C23" s="198"/>
      <c r="D23" s="263"/>
      <c r="E23" s="264"/>
      <c r="F23" s="224"/>
      <c r="G23" s="264">
        <f>G24+G25</f>
        <v>528500000</v>
      </c>
      <c r="H23" s="228"/>
      <c r="I23" s="266"/>
      <c r="J23" s="197"/>
      <c r="K23" s="197"/>
      <c r="L23" s="197"/>
      <c r="M23" s="197"/>
      <c r="N23" s="197"/>
    </row>
    <row r="24" spans="1:14" ht="30.75" customHeight="1">
      <c r="A24" s="407">
        <v>4</v>
      </c>
      <c r="B24" s="215" t="s">
        <v>572</v>
      </c>
      <c r="C24" s="214" t="s">
        <v>545</v>
      </c>
      <c r="D24" s="225">
        <f>'PA bồi thường'!AC10</f>
        <v>135</v>
      </c>
      <c r="E24" s="226">
        <v>3500000</v>
      </c>
      <c r="F24" s="218">
        <v>1</v>
      </c>
      <c r="G24" s="226">
        <f>D24*E24</f>
        <v>472500000</v>
      </c>
      <c r="H24" s="228"/>
      <c r="I24" s="197"/>
      <c r="J24" s="197"/>
      <c r="K24" s="197"/>
      <c r="L24" s="197"/>
      <c r="M24" s="197"/>
      <c r="N24" s="197"/>
    </row>
    <row r="25" spans="1:14" ht="37.5">
      <c r="A25" s="408"/>
      <c r="B25" s="170" t="s">
        <v>546</v>
      </c>
      <c r="C25" s="171" t="s">
        <v>545</v>
      </c>
      <c r="D25" s="288">
        <v>16</v>
      </c>
      <c r="E25" s="289">
        <v>3500000</v>
      </c>
      <c r="F25" s="290">
        <v>1</v>
      </c>
      <c r="G25" s="226">
        <f>D25*E25</f>
        <v>56000000</v>
      </c>
      <c r="H25" s="228"/>
      <c r="I25" s="197"/>
      <c r="J25" s="197"/>
      <c r="K25" s="197"/>
      <c r="L25" s="197"/>
      <c r="M25" s="197"/>
      <c r="N25" s="197"/>
    </row>
    <row r="26" spans="1:14" ht="31.5" customHeight="1">
      <c r="A26" s="198" t="s">
        <v>547</v>
      </c>
      <c r="B26" s="400" t="s">
        <v>548</v>
      </c>
      <c r="C26" s="400"/>
      <c r="D26" s="400"/>
      <c r="E26" s="400"/>
      <c r="F26" s="400"/>
      <c r="G26" s="223">
        <f>G27</f>
        <v>3026000000</v>
      </c>
      <c r="H26" s="228"/>
      <c r="I26" s="197"/>
      <c r="J26" s="197"/>
      <c r="K26" s="197"/>
      <c r="L26" s="197"/>
      <c r="M26" s="197"/>
      <c r="N26" s="197"/>
    </row>
    <row r="27" spans="1:14" ht="47.25" customHeight="1">
      <c r="A27" s="214">
        <v>1</v>
      </c>
      <c r="B27" s="215" t="s">
        <v>549</v>
      </c>
      <c r="C27" s="214" t="s">
        <v>538</v>
      </c>
      <c r="D27" s="229">
        <f>D20+D21</f>
        <v>75650</v>
      </c>
      <c r="E27" s="217">
        <v>40000</v>
      </c>
      <c r="F27" s="218">
        <v>1</v>
      </c>
      <c r="G27" s="217">
        <f>D27*E27*F27</f>
        <v>3026000000</v>
      </c>
      <c r="H27" s="228"/>
      <c r="I27" s="197"/>
      <c r="J27" s="197"/>
      <c r="K27" s="197"/>
      <c r="L27" s="197"/>
      <c r="M27" s="197"/>
      <c r="N27" s="197"/>
    </row>
    <row r="28" spans="1:14" ht="36.75" customHeight="1">
      <c r="A28" s="271" t="s">
        <v>605</v>
      </c>
      <c r="B28" s="272" t="s">
        <v>590</v>
      </c>
      <c r="C28" s="214"/>
      <c r="D28" s="274"/>
      <c r="E28" s="217"/>
      <c r="F28" s="218"/>
      <c r="G28" s="223">
        <f>G29+G35+G38+G39+G41+G42</f>
        <v>125360000</v>
      </c>
      <c r="H28" s="228"/>
      <c r="I28" s="197"/>
      <c r="J28" s="197"/>
      <c r="K28" s="197"/>
      <c r="L28" s="197"/>
      <c r="M28" s="197"/>
      <c r="N28" s="197"/>
    </row>
    <row r="29" spans="1:14" ht="28.5" customHeight="1">
      <c r="A29" s="271">
        <v>1</v>
      </c>
      <c r="B29" s="272" t="s">
        <v>600</v>
      </c>
      <c r="C29" s="198"/>
      <c r="D29" s="280">
        <v>7</v>
      </c>
      <c r="E29" s="223"/>
      <c r="F29" s="224"/>
      <c r="G29" s="223">
        <f>SUM(G30:G34)</f>
        <v>34860000</v>
      </c>
      <c r="H29" s="228"/>
      <c r="I29" s="197"/>
      <c r="J29" s="197"/>
      <c r="K29" s="197"/>
      <c r="L29" s="197"/>
      <c r="M29" s="197"/>
      <c r="N29" s="197"/>
    </row>
    <row r="30" spans="1:14" s="277" customFormat="1" ht="40.5" customHeight="1">
      <c r="A30" s="276"/>
      <c r="B30" s="285" t="str">
        <f>'[1]P.A mộ (đợt 1)'!$F$11</f>
        <v>Mộ đã cải táng, mộ xây gạch, ốp xung quanh bằng gạch men sứ các màu, vữa mác 50, trên 400 viên , DTCĐ từ 1,5 m2  -:- 2m2</v>
      </c>
      <c r="C30" s="274" t="s">
        <v>599</v>
      </c>
      <c r="D30" s="274">
        <v>2</v>
      </c>
      <c r="E30" s="217">
        <v>5170000</v>
      </c>
      <c r="F30" s="218">
        <v>1</v>
      </c>
      <c r="G30" s="217">
        <f>D30*E30*F30</f>
        <v>10340000</v>
      </c>
      <c r="H30" s="228"/>
      <c r="I30" s="197"/>
      <c r="J30" s="197"/>
      <c r="K30" s="197"/>
      <c r="L30" s="197"/>
      <c r="M30" s="197"/>
      <c r="N30" s="197"/>
    </row>
    <row r="31" spans="1:14" s="277" customFormat="1" ht="40.5" customHeight="1">
      <c r="A31" s="276"/>
      <c r="B31" s="278" t="str">
        <f>'[1]P.A mộ (đợt 1)'!$F$12</f>
        <v>Mộ đã cải táng, mộ xây gạch, trát xung quanh vữa mác 25 đến 50, quét vôi ve xi măng, sơn,trên 800 viên , DTCĐ từ  &gt;2,5m2</v>
      </c>
      <c r="C31" s="274" t="s">
        <v>599</v>
      </c>
      <c r="D31" s="274">
        <v>2</v>
      </c>
      <c r="E31" s="217">
        <v>5020000</v>
      </c>
      <c r="F31" s="218">
        <v>1</v>
      </c>
      <c r="G31" s="217">
        <f t="shared" ref="G31:G34" si="1">D31*E31*F31</f>
        <v>10040000</v>
      </c>
      <c r="H31" s="228"/>
      <c r="I31" s="197"/>
      <c r="J31" s="197"/>
      <c r="K31" s="197"/>
      <c r="L31" s="197"/>
      <c r="M31" s="197"/>
      <c r="N31" s="197"/>
    </row>
    <row r="32" spans="1:14" s="277" customFormat="1" ht="28.5" customHeight="1">
      <c r="A32" s="276"/>
      <c r="B32" s="278" t="str">
        <f>'[1]P.A mộ (đợt 1)'!$F$13</f>
        <v>Mộ chưa cải táng (mộ dài)</v>
      </c>
      <c r="C32" s="274" t="s">
        <v>599</v>
      </c>
      <c r="D32" s="274">
        <v>1</v>
      </c>
      <c r="E32" s="217">
        <v>8600000</v>
      </c>
      <c r="F32" s="218">
        <v>1</v>
      </c>
      <c r="G32" s="217">
        <f t="shared" si="1"/>
        <v>8600000</v>
      </c>
      <c r="H32" s="228"/>
      <c r="I32" s="197"/>
      <c r="J32" s="197"/>
      <c r="K32" s="197"/>
      <c r="L32" s="197"/>
      <c r="M32" s="197"/>
      <c r="N32" s="197"/>
    </row>
    <row r="33" spans="1:14" s="277" customFormat="1" ht="45.75" customHeight="1">
      <c r="A33" s="276"/>
      <c r="B33" s="278" t="str">
        <f>'[1]P.A mộ (đợt 1)'!$F$14</f>
        <v>Mộ đã cải táng, mộ xây gạch, ốp xung quanh bằng gạch men sứ các màu, vữa mác 50, dưới 400 viên , DTCĐ  ≤ 1,5m2</v>
      </c>
      <c r="C33" s="274" t="s">
        <v>599</v>
      </c>
      <c r="D33" s="274">
        <v>1</v>
      </c>
      <c r="E33" s="217">
        <v>4310000</v>
      </c>
      <c r="F33" s="218">
        <v>1</v>
      </c>
      <c r="G33" s="217">
        <f t="shared" si="1"/>
        <v>4310000</v>
      </c>
      <c r="H33" s="228"/>
      <c r="I33" s="197"/>
      <c r="J33" s="197"/>
      <c r="K33" s="197"/>
      <c r="L33" s="197"/>
      <c r="M33" s="197"/>
      <c r="N33" s="197"/>
    </row>
    <row r="34" spans="1:14" s="277" customFormat="1" ht="22.5" customHeight="1">
      <c r="A34" s="276"/>
      <c r="B34" s="278" t="str">
        <f>'[1]P.A mộ (đợt 1)'!$F$16</f>
        <v>Mộ đất đã cải táng</v>
      </c>
      <c r="C34" s="274" t="s">
        <v>599</v>
      </c>
      <c r="D34" s="274">
        <v>1</v>
      </c>
      <c r="E34" s="217">
        <v>1570000</v>
      </c>
      <c r="F34" s="218">
        <v>1</v>
      </c>
      <c r="G34" s="217">
        <f t="shared" si="1"/>
        <v>1570000</v>
      </c>
      <c r="H34" s="228"/>
      <c r="I34" s="197"/>
      <c r="J34" s="197"/>
      <c r="K34" s="197"/>
      <c r="L34" s="197"/>
      <c r="M34" s="197"/>
      <c r="N34" s="197"/>
    </row>
    <row r="35" spans="1:14" s="283" customFormat="1" ht="22.5" customHeight="1">
      <c r="A35" s="198" t="s">
        <v>564</v>
      </c>
      <c r="B35" s="279" t="s">
        <v>591</v>
      </c>
      <c r="C35" s="280"/>
      <c r="D35" s="280">
        <v>7</v>
      </c>
      <c r="E35" s="281"/>
      <c r="F35" s="224"/>
      <c r="G35" s="223">
        <f>G36+G37</f>
        <v>17000000</v>
      </c>
      <c r="H35" s="284"/>
      <c r="I35" s="282"/>
      <c r="J35" s="282"/>
      <c r="K35" s="282"/>
      <c r="L35" s="282"/>
      <c r="M35" s="282"/>
      <c r="N35" s="282"/>
    </row>
    <row r="36" spans="1:14" ht="22.5" customHeight="1">
      <c r="A36" s="214"/>
      <c r="B36" s="273" t="s">
        <v>601</v>
      </c>
      <c r="C36" s="274" t="s">
        <v>599</v>
      </c>
      <c r="D36" s="274">
        <v>1</v>
      </c>
      <c r="E36" s="275">
        <v>5000000</v>
      </c>
      <c r="F36" s="218">
        <v>1</v>
      </c>
      <c r="G36" s="217">
        <f>D36*E36*F36</f>
        <v>5000000</v>
      </c>
      <c r="H36" s="228"/>
      <c r="I36" s="197"/>
      <c r="J36" s="197"/>
      <c r="K36" s="197"/>
      <c r="L36" s="197"/>
      <c r="M36" s="197"/>
      <c r="N36" s="197"/>
    </row>
    <row r="37" spans="1:14" ht="22.5" customHeight="1">
      <c r="A37" s="214"/>
      <c r="B37" s="273" t="s">
        <v>602</v>
      </c>
      <c r="C37" s="274" t="s">
        <v>599</v>
      </c>
      <c r="D37" s="274">
        <v>6</v>
      </c>
      <c r="E37" s="275">
        <v>2000000</v>
      </c>
      <c r="F37" s="218">
        <v>1</v>
      </c>
      <c r="G37" s="217">
        <f>D37*E37*F37</f>
        <v>12000000</v>
      </c>
      <c r="H37" s="228"/>
      <c r="I37" s="197"/>
      <c r="J37" s="197"/>
      <c r="K37" s="197"/>
      <c r="L37" s="197"/>
      <c r="M37" s="197"/>
      <c r="N37" s="197"/>
    </row>
    <row r="38" spans="1:14" s="283" customFormat="1" ht="30.75" customHeight="1">
      <c r="A38" s="198" t="s">
        <v>569</v>
      </c>
      <c r="B38" s="279" t="s">
        <v>592</v>
      </c>
      <c r="C38" s="280" t="s">
        <v>599</v>
      </c>
      <c r="D38" s="280">
        <v>7</v>
      </c>
      <c r="E38" s="281">
        <v>2000000</v>
      </c>
      <c r="F38" s="224">
        <v>1</v>
      </c>
      <c r="G38" s="223">
        <f>D38*E38*F38</f>
        <v>14000000</v>
      </c>
      <c r="H38" s="284"/>
      <c r="I38" s="282"/>
      <c r="J38" s="282"/>
      <c r="K38" s="282"/>
      <c r="L38" s="282"/>
      <c r="M38" s="282"/>
      <c r="N38" s="282"/>
    </row>
    <row r="39" spans="1:14" s="283" customFormat="1" ht="29.25" customHeight="1">
      <c r="A39" s="198" t="s">
        <v>593</v>
      </c>
      <c r="B39" s="279" t="s">
        <v>594</v>
      </c>
      <c r="C39" s="280"/>
      <c r="D39" s="280">
        <f>D40</f>
        <v>7</v>
      </c>
      <c r="E39" s="281"/>
      <c r="F39" s="224"/>
      <c r="G39" s="223">
        <f>G40</f>
        <v>10500000</v>
      </c>
      <c r="H39" s="284"/>
      <c r="I39" s="282"/>
      <c r="J39" s="282"/>
      <c r="K39" s="282"/>
      <c r="L39" s="282"/>
      <c r="M39" s="282"/>
      <c r="N39" s="282"/>
    </row>
    <row r="40" spans="1:14" ht="30.75" customHeight="1">
      <c r="A40" s="214"/>
      <c r="B40" s="273" t="s">
        <v>603</v>
      </c>
      <c r="C40" s="274" t="s">
        <v>599</v>
      </c>
      <c r="D40" s="274">
        <v>7</v>
      </c>
      <c r="E40" s="275">
        <v>1500000</v>
      </c>
      <c r="F40" s="218">
        <v>1</v>
      </c>
      <c r="G40" s="217">
        <f>D40*E40*F40</f>
        <v>10500000</v>
      </c>
      <c r="H40" s="228"/>
      <c r="I40" s="197"/>
      <c r="J40" s="197"/>
      <c r="K40" s="197"/>
      <c r="L40" s="197"/>
      <c r="M40" s="197"/>
      <c r="N40" s="197"/>
    </row>
    <row r="41" spans="1:14" ht="30.75" customHeight="1">
      <c r="A41" s="198" t="s">
        <v>595</v>
      </c>
      <c r="B41" s="279" t="s">
        <v>596</v>
      </c>
      <c r="C41" s="280" t="s">
        <v>599</v>
      </c>
      <c r="D41" s="280">
        <v>7</v>
      </c>
      <c r="E41" s="281">
        <v>2000000</v>
      </c>
      <c r="F41" s="224">
        <v>1</v>
      </c>
      <c r="G41" s="223">
        <f>D41*E41*F41</f>
        <v>14000000</v>
      </c>
      <c r="H41" s="228"/>
      <c r="I41" s="197"/>
      <c r="J41" s="197"/>
      <c r="K41" s="197"/>
      <c r="L41" s="197"/>
      <c r="M41" s="197"/>
      <c r="N41" s="197"/>
    </row>
    <row r="42" spans="1:14" ht="40.5" customHeight="1">
      <c r="A42" s="198" t="s">
        <v>597</v>
      </c>
      <c r="B42" s="279" t="s">
        <v>598</v>
      </c>
      <c r="C42" s="280" t="s">
        <v>599</v>
      </c>
      <c r="D42" s="286">
        <v>7</v>
      </c>
      <c r="E42" s="281">
        <v>5000000</v>
      </c>
      <c r="F42" s="224">
        <v>1</v>
      </c>
      <c r="G42" s="223">
        <f>D42*E42*F42</f>
        <v>35000000</v>
      </c>
      <c r="H42" s="228"/>
      <c r="I42" s="197"/>
      <c r="J42" s="197"/>
      <c r="K42" s="197"/>
      <c r="L42" s="197"/>
      <c r="M42" s="197"/>
      <c r="N42" s="197"/>
    </row>
    <row r="43" spans="1:14" ht="27.75" customHeight="1">
      <c r="A43" s="396"/>
      <c r="B43" s="396"/>
      <c r="C43" s="396"/>
      <c r="D43" s="230"/>
      <c r="E43" s="397" t="s">
        <v>525</v>
      </c>
      <c r="F43" s="397"/>
      <c r="G43" s="397"/>
      <c r="H43" s="397"/>
      <c r="I43" s="197"/>
      <c r="J43" s="197"/>
      <c r="K43" s="197"/>
      <c r="L43" s="197"/>
      <c r="M43" s="197"/>
      <c r="N43" s="197"/>
    </row>
    <row r="44" spans="1:14" ht="16.5">
      <c r="A44" s="396"/>
      <c r="B44" s="396"/>
      <c r="C44" s="396"/>
      <c r="D44" s="230"/>
      <c r="E44" s="397" t="s">
        <v>526</v>
      </c>
      <c r="F44" s="397"/>
      <c r="G44" s="397"/>
      <c r="H44" s="397"/>
      <c r="I44" s="197"/>
      <c r="J44" s="197"/>
      <c r="K44" s="197"/>
      <c r="L44" s="197"/>
      <c r="M44" s="197"/>
      <c r="N44" s="197"/>
    </row>
    <row r="45" spans="1:14" ht="69" customHeight="1">
      <c r="A45" s="231"/>
      <c r="B45" s="231"/>
      <c r="C45" s="232"/>
      <c r="D45" s="233"/>
      <c r="E45" s="233"/>
      <c r="F45" s="233"/>
      <c r="G45" s="234"/>
      <c r="H45" s="235"/>
      <c r="I45" s="197"/>
      <c r="J45" s="197"/>
      <c r="K45" s="197"/>
      <c r="L45" s="197"/>
      <c r="M45" s="197"/>
      <c r="N45" s="197"/>
    </row>
    <row r="46" spans="1:14" ht="16.5">
      <c r="A46" s="231"/>
      <c r="B46" s="231"/>
      <c r="C46" s="232"/>
      <c r="D46" s="233"/>
      <c r="E46" s="233"/>
      <c r="F46" s="233"/>
      <c r="G46" s="236"/>
      <c r="H46" s="235"/>
      <c r="I46" s="197"/>
      <c r="J46" s="197"/>
      <c r="K46" s="197"/>
      <c r="L46" s="197"/>
      <c r="M46" s="197"/>
      <c r="N46" s="197"/>
    </row>
    <row r="47" spans="1:14" ht="18.75">
      <c r="A47" s="398"/>
      <c r="B47" s="398"/>
      <c r="C47" s="398"/>
      <c r="D47" s="237"/>
      <c r="E47" s="399" t="s">
        <v>527</v>
      </c>
      <c r="F47" s="399"/>
      <c r="G47" s="399"/>
      <c r="H47" s="399"/>
      <c r="I47" s="197"/>
      <c r="J47" s="197"/>
      <c r="K47" s="197"/>
      <c r="L47" s="197"/>
      <c r="M47" s="197"/>
      <c r="N47" s="197"/>
    </row>
    <row r="48" spans="1:14">
      <c r="A48" s="197"/>
      <c r="B48" s="197"/>
      <c r="C48" s="197"/>
      <c r="D48" s="197"/>
      <c r="E48" s="197"/>
      <c r="F48" s="197"/>
      <c r="G48" s="197"/>
      <c r="H48" s="197"/>
      <c r="I48" s="197"/>
      <c r="J48" s="197"/>
      <c r="K48" s="197"/>
      <c r="L48" s="197"/>
      <c r="M48" s="197"/>
      <c r="N48" s="197"/>
    </row>
    <row r="49" spans="1:14">
      <c r="A49" s="197"/>
      <c r="B49" s="197"/>
      <c r="C49" s="197"/>
      <c r="D49" s="197"/>
      <c r="E49" s="197"/>
      <c r="F49" s="197"/>
      <c r="G49" s="197"/>
      <c r="H49" s="197"/>
      <c r="I49" s="197"/>
      <c r="J49" s="197"/>
      <c r="K49" s="197"/>
      <c r="L49" s="197"/>
      <c r="M49" s="197"/>
      <c r="N49" s="197"/>
    </row>
    <row r="50" spans="1:14">
      <c r="A50" s="197"/>
      <c r="B50" s="197"/>
      <c r="C50" s="197"/>
      <c r="D50" s="197"/>
      <c r="E50" s="197"/>
      <c r="F50" s="197"/>
      <c r="G50" s="197"/>
      <c r="H50" s="197"/>
      <c r="I50" s="197"/>
      <c r="J50" s="197"/>
      <c r="K50" s="197"/>
      <c r="L50" s="197"/>
      <c r="M50" s="197"/>
      <c r="N50" s="197"/>
    </row>
    <row r="51" spans="1:14">
      <c r="A51" s="197"/>
      <c r="B51" s="197"/>
      <c r="C51" s="197"/>
      <c r="D51" s="197"/>
      <c r="E51" s="197"/>
      <c r="F51" s="197"/>
      <c r="G51" s="197"/>
      <c r="H51" s="197"/>
      <c r="I51" s="197"/>
      <c r="J51" s="197"/>
      <c r="K51" s="197"/>
      <c r="L51" s="197"/>
      <c r="M51" s="197"/>
      <c r="N51" s="197"/>
    </row>
    <row r="52" spans="1:14">
      <c r="A52" s="197"/>
      <c r="B52" s="197"/>
      <c r="C52" s="197"/>
      <c r="D52" s="197"/>
      <c r="E52" s="197"/>
      <c r="F52" s="197"/>
      <c r="G52" s="197"/>
      <c r="H52" s="197"/>
      <c r="I52" s="197"/>
      <c r="J52" s="197"/>
      <c r="K52" s="197"/>
      <c r="L52" s="197"/>
      <c r="M52" s="197"/>
      <c r="N52" s="197"/>
    </row>
    <row r="53" spans="1:14">
      <c r="A53" s="197"/>
      <c r="B53" s="197"/>
      <c r="C53" s="197"/>
      <c r="D53" s="197"/>
      <c r="E53" s="197"/>
      <c r="F53" s="197"/>
      <c r="G53" s="197"/>
      <c r="H53" s="197"/>
      <c r="I53" s="197"/>
      <c r="J53" s="197"/>
      <c r="K53" s="197"/>
      <c r="L53" s="197"/>
      <c r="M53" s="197"/>
      <c r="N53" s="197"/>
    </row>
    <row r="54" spans="1:14">
      <c r="A54" s="197"/>
      <c r="B54" s="197"/>
      <c r="C54" s="197"/>
      <c r="D54" s="197"/>
      <c r="E54" s="197"/>
      <c r="F54" s="197"/>
      <c r="G54" s="197"/>
      <c r="H54" s="197"/>
      <c r="I54" s="197"/>
      <c r="J54" s="197"/>
      <c r="K54" s="197"/>
      <c r="L54" s="197"/>
      <c r="M54" s="197"/>
      <c r="N54" s="197"/>
    </row>
    <row r="55" spans="1:14">
      <c r="A55" s="197"/>
      <c r="B55" s="197"/>
      <c r="C55" s="197"/>
      <c r="D55" s="197"/>
      <c r="E55" s="197"/>
      <c r="F55" s="197"/>
      <c r="G55" s="197"/>
      <c r="H55" s="197"/>
      <c r="I55" s="197"/>
      <c r="J55" s="197"/>
      <c r="K55" s="197"/>
      <c r="L55" s="197"/>
      <c r="M55" s="197"/>
      <c r="N55" s="197"/>
    </row>
    <row r="56" spans="1:14">
      <c r="A56" s="197"/>
      <c r="B56" s="197"/>
      <c r="C56" s="197"/>
      <c r="D56" s="197"/>
      <c r="E56" s="197"/>
      <c r="F56" s="197"/>
      <c r="G56" s="197"/>
      <c r="H56" s="197"/>
      <c r="I56" s="197"/>
      <c r="J56" s="197"/>
      <c r="K56" s="197"/>
      <c r="L56" s="197"/>
      <c r="M56" s="197"/>
      <c r="N56" s="197"/>
    </row>
    <row r="57" spans="1:14">
      <c r="A57" s="197"/>
      <c r="B57" s="197"/>
      <c r="C57" s="197"/>
      <c r="D57" s="197"/>
      <c r="E57" s="197"/>
      <c r="F57" s="197"/>
      <c r="G57" s="197"/>
      <c r="H57" s="197"/>
      <c r="I57" s="197"/>
      <c r="J57" s="197"/>
      <c r="K57" s="197"/>
      <c r="L57" s="197"/>
      <c r="M57" s="197"/>
      <c r="N57" s="197"/>
    </row>
    <row r="58" spans="1:14">
      <c r="A58" s="197"/>
      <c r="B58" s="197"/>
      <c r="C58" s="197"/>
      <c r="D58" s="197"/>
      <c r="E58" s="197"/>
      <c r="F58" s="197"/>
      <c r="G58" s="197"/>
      <c r="H58" s="197"/>
      <c r="I58" s="197"/>
      <c r="J58" s="197"/>
      <c r="K58" s="197"/>
      <c r="L58" s="197"/>
      <c r="M58" s="197"/>
      <c r="N58" s="197"/>
    </row>
    <row r="59" spans="1:14">
      <c r="A59" s="197"/>
      <c r="B59" s="197"/>
      <c r="C59" s="197"/>
      <c r="D59" s="197"/>
      <c r="E59" s="197"/>
      <c r="F59" s="197"/>
      <c r="G59" s="197"/>
      <c r="H59" s="197"/>
      <c r="I59" s="197"/>
      <c r="J59" s="197"/>
      <c r="K59" s="197"/>
      <c r="L59" s="197"/>
      <c r="M59" s="197"/>
      <c r="N59" s="197"/>
    </row>
    <row r="60" spans="1:14">
      <c r="A60" s="197"/>
      <c r="B60" s="197"/>
      <c r="C60" s="197"/>
      <c r="D60" s="197"/>
      <c r="E60" s="197"/>
      <c r="F60" s="197"/>
      <c r="G60" s="197"/>
      <c r="H60" s="197"/>
      <c r="I60" s="197"/>
      <c r="J60" s="197"/>
      <c r="K60" s="197"/>
      <c r="L60" s="197"/>
      <c r="M60" s="197"/>
      <c r="N60" s="197"/>
    </row>
    <row r="61" spans="1:14">
      <c r="A61" s="197"/>
      <c r="B61" s="197"/>
      <c r="C61" s="197"/>
      <c r="D61" s="197"/>
      <c r="E61" s="197"/>
      <c r="F61" s="197"/>
      <c r="G61" s="197"/>
      <c r="H61" s="197"/>
      <c r="I61" s="197"/>
      <c r="J61" s="197"/>
      <c r="K61" s="197"/>
      <c r="L61" s="197"/>
      <c r="M61" s="197"/>
      <c r="N61" s="197"/>
    </row>
    <row r="62" spans="1:14">
      <c r="A62" s="197"/>
      <c r="B62" s="197"/>
      <c r="C62" s="197"/>
      <c r="D62" s="197"/>
      <c r="E62" s="197"/>
      <c r="F62" s="197"/>
      <c r="G62" s="197"/>
      <c r="H62" s="197"/>
      <c r="I62" s="197"/>
      <c r="J62" s="197"/>
      <c r="K62" s="197"/>
      <c r="L62" s="197"/>
      <c r="M62" s="197"/>
      <c r="N62" s="197"/>
    </row>
    <row r="63" spans="1:14">
      <c r="A63" s="197"/>
      <c r="B63" s="197"/>
      <c r="C63" s="197"/>
      <c r="D63" s="197"/>
      <c r="E63" s="197"/>
      <c r="F63" s="197"/>
      <c r="G63" s="197"/>
      <c r="H63" s="197"/>
      <c r="I63" s="197"/>
      <c r="J63" s="197"/>
      <c r="K63" s="197"/>
      <c r="L63" s="197"/>
      <c r="M63" s="197"/>
      <c r="N63" s="197"/>
    </row>
    <row r="64" spans="1:14">
      <c r="A64" s="197"/>
      <c r="B64" s="197"/>
      <c r="C64" s="197"/>
      <c r="D64" s="197"/>
      <c r="E64" s="197"/>
      <c r="F64" s="197"/>
      <c r="G64" s="197"/>
      <c r="H64" s="197"/>
      <c r="I64" s="197"/>
      <c r="J64" s="197"/>
      <c r="K64" s="197"/>
      <c r="L64" s="197"/>
      <c r="M64" s="197"/>
      <c r="N64" s="197"/>
    </row>
    <row r="65" spans="1:14">
      <c r="A65" s="197"/>
      <c r="B65" s="197"/>
      <c r="C65" s="197"/>
      <c r="D65" s="197"/>
      <c r="E65" s="197"/>
      <c r="F65" s="197"/>
      <c r="G65" s="197"/>
      <c r="H65" s="197"/>
      <c r="I65" s="197"/>
      <c r="J65" s="197"/>
      <c r="K65" s="197"/>
      <c r="L65" s="197"/>
      <c r="M65" s="197"/>
      <c r="N65" s="197"/>
    </row>
    <row r="66" spans="1:14">
      <c r="A66" s="197"/>
      <c r="B66" s="197"/>
      <c r="C66" s="197"/>
      <c r="D66" s="197"/>
      <c r="E66" s="197"/>
      <c r="F66" s="197"/>
      <c r="G66" s="197"/>
      <c r="H66" s="197"/>
      <c r="I66" s="197"/>
      <c r="J66" s="197"/>
      <c r="K66" s="197"/>
      <c r="L66" s="197"/>
      <c r="M66" s="197"/>
      <c r="N66" s="197"/>
    </row>
    <row r="67" spans="1:14">
      <c r="A67" s="197"/>
      <c r="B67" s="197"/>
      <c r="C67" s="197"/>
      <c r="D67" s="197"/>
      <c r="E67" s="197"/>
      <c r="F67" s="197"/>
      <c r="G67" s="197"/>
      <c r="H67" s="197"/>
      <c r="I67" s="197"/>
      <c r="J67" s="197"/>
      <c r="K67" s="197"/>
      <c r="L67" s="197"/>
      <c r="M67" s="197"/>
      <c r="N67" s="197"/>
    </row>
    <row r="68" spans="1:14">
      <c r="A68" s="197"/>
      <c r="B68" s="197"/>
      <c r="C68" s="197"/>
      <c r="D68" s="197"/>
      <c r="E68" s="197"/>
      <c r="F68" s="197"/>
      <c r="G68" s="197"/>
      <c r="H68" s="197"/>
      <c r="I68" s="197"/>
      <c r="J68" s="197"/>
      <c r="K68" s="197"/>
      <c r="L68" s="197"/>
      <c r="M68" s="197"/>
      <c r="N68" s="197"/>
    </row>
    <row r="69" spans="1:14">
      <c r="A69" s="197"/>
      <c r="B69" s="197"/>
      <c r="C69" s="197"/>
      <c r="D69" s="197"/>
      <c r="E69" s="197"/>
      <c r="F69" s="197"/>
      <c r="G69" s="197"/>
      <c r="H69" s="197"/>
      <c r="I69" s="197"/>
      <c r="J69" s="197"/>
      <c r="K69" s="197"/>
      <c r="L69" s="197"/>
      <c r="M69" s="197"/>
      <c r="N69" s="197"/>
    </row>
    <row r="70" spans="1:14">
      <c r="A70" s="197"/>
      <c r="B70" s="197"/>
      <c r="C70" s="197"/>
      <c r="D70" s="197"/>
      <c r="E70" s="197"/>
      <c r="F70" s="197"/>
      <c r="G70" s="197"/>
      <c r="H70" s="197"/>
      <c r="I70" s="197"/>
      <c r="J70" s="197"/>
      <c r="K70" s="197"/>
      <c r="L70" s="197"/>
      <c r="M70" s="197"/>
      <c r="N70" s="197"/>
    </row>
    <row r="71" spans="1:14">
      <c r="A71" s="197"/>
      <c r="B71" s="197"/>
      <c r="C71" s="197"/>
      <c r="D71" s="197"/>
      <c r="E71" s="197"/>
      <c r="F71" s="197"/>
      <c r="G71" s="197"/>
      <c r="H71" s="197"/>
      <c r="I71" s="197"/>
      <c r="J71" s="197"/>
      <c r="K71" s="197"/>
      <c r="L71" s="197"/>
      <c r="M71" s="197"/>
      <c r="N71" s="197"/>
    </row>
    <row r="72" spans="1:14">
      <c r="A72" s="197"/>
      <c r="B72" s="197"/>
      <c r="C72" s="197"/>
      <c r="D72" s="197"/>
      <c r="E72" s="197"/>
      <c r="F72" s="197"/>
      <c r="G72" s="197"/>
      <c r="H72" s="197"/>
      <c r="I72" s="197"/>
      <c r="J72" s="197"/>
      <c r="K72" s="197"/>
      <c r="L72" s="197"/>
      <c r="M72" s="197"/>
      <c r="N72" s="197"/>
    </row>
    <row r="73" spans="1:14">
      <c r="A73" s="197"/>
      <c r="B73" s="197"/>
      <c r="C73" s="197"/>
      <c r="D73" s="197"/>
      <c r="E73" s="197"/>
      <c r="F73" s="197"/>
      <c r="G73" s="197"/>
      <c r="H73" s="197"/>
      <c r="I73" s="197"/>
      <c r="J73" s="197"/>
      <c r="K73" s="197"/>
      <c r="L73" s="197"/>
      <c r="M73" s="197"/>
      <c r="N73" s="197"/>
    </row>
  </sheetData>
  <mergeCells count="13">
    <mergeCell ref="B26:F26"/>
    <mergeCell ref="B6:D6"/>
    <mergeCell ref="A1:H1"/>
    <mergeCell ref="A2:H2"/>
    <mergeCell ref="A3:H3"/>
    <mergeCell ref="B14:F14"/>
    <mergeCell ref="A24:A25"/>
    <mergeCell ref="A43:C43"/>
    <mergeCell ref="E43:H43"/>
    <mergeCell ref="A44:C44"/>
    <mergeCell ref="E44:H44"/>
    <mergeCell ref="A47:C47"/>
    <mergeCell ref="E47:H47"/>
  </mergeCells>
  <pageMargins left="1" right="0.17" top="0.75" bottom="0.62" header="0.3" footer="0.3"/>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84"/>
  <sheetViews>
    <sheetView view="pageBreakPreview" topLeftCell="A355" zoomScale="70" zoomScaleNormal="70" zoomScaleSheetLayoutView="70" workbookViewId="0">
      <selection activeCell="K353" sqref="K353:K359"/>
    </sheetView>
  </sheetViews>
  <sheetFormatPr defaultColWidth="9.140625" defaultRowHeight="20.25"/>
  <cols>
    <col min="1" max="1" width="7.28515625" style="98" customWidth="1"/>
    <col min="2" max="2" width="29.85546875" style="139" customWidth="1"/>
    <col min="3" max="3" width="6.42578125" style="105" customWidth="1"/>
    <col min="4" max="4" width="7.42578125" style="105" customWidth="1"/>
    <col min="5" max="5" width="9.85546875" style="140" customWidth="1"/>
    <col min="6" max="6" width="7.7109375" style="105" customWidth="1"/>
    <col min="7" max="7" width="14.7109375" style="106" customWidth="1"/>
    <col min="8" max="8" width="12.85546875" style="142" customWidth="1"/>
    <col min="9" max="9" width="10" style="143" customWidth="1"/>
    <col min="10" max="10" width="19.85546875" style="146" customWidth="1"/>
    <col min="11" max="11" width="19" style="147" customWidth="1"/>
    <col min="12" max="12" width="10.5703125" style="150" customWidth="1"/>
    <col min="13" max="13" width="14.140625" style="1" customWidth="1"/>
    <col min="14" max="14" width="26.140625" style="1" customWidth="1"/>
    <col min="15" max="15" width="13.42578125" style="1" bestFit="1" customWidth="1"/>
    <col min="16" max="16" width="27.7109375" style="1" customWidth="1"/>
    <col min="17" max="17" width="17.85546875" style="1" customWidth="1"/>
    <col min="18" max="16384" width="9.140625" style="1"/>
  </cols>
  <sheetData>
    <row r="1" spans="1:15" ht="27" customHeight="1">
      <c r="A1" s="362" t="s">
        <v>579</v>
      </c>
      <c r="B1" s="362"/>
      <c r="C1" s="362"/>
      <c r="D1" s="362"/>
      <c r="E1" s="362"/>
      <c r="F1" s="362"/>
      <c r="G1" s="362"/>
      <c r="H1" s="362"/>
      <c r="I1" s="362"/>
      <c r="J1" s="362"/>
      <c r="K1" s="362"/>
      <c r="L1" s="362"/>
    </row>
    <row r="2" spans="1:15" s="2" customFormat="1" ht="21.75" customHeight="1">
      <c r="A2" s="362"/>
      <c r="B2" s="362"/>
      <c r="C2" s="362"/>
      <c r="D2" s="362"/>
      <c r="E2" s="362"/>
      <c r="F2" s="362"/>
      <c r="G2" s="362"/>
      <c r="H2" s="362"/>
      <c r="I2" s="362"/>
      <c r="J2" s="362"/>
      <c r="K2" s="362"/>
      <c r="L2" s="362"/>
    </row>
    <row r="3" spans="1:15" s="3" customFormat="1" ht="20.25" customHeight="1">
      <c r="A3" s="98"/>
      <c r="B3" s="363" t="s">
        <v>0</v>
      </c>
      <c r="C3" s="363"/>
      <c r="D3" s="363"/>
      <c r="E3" s="363"/>
      <c r="F3" s="363"/>
      <c r="G3" s="363"/>
      <c r="H3" s="363"/>
      <c r="I3" s="363"/>
      <c r="J3" s="363"/>
      <c r="K3" s="363"/>
      <c r="L3" s="363"/>
    </row>
    <row r="4" spans="1:15" s="2" customFormat="1" ht="37.5" customHeight="1">
      <c r="A4" s="362" t="s">
        <v>1</v>
      </c>
      <c r="B4" s="362"/>
      <c r="C4" s="362"/>
      <c r="D4" s="362"/>
      <c r="E4" s="362"/>
      <c r="F4" s="362"/>
      <c r="G4" s="362"/>
      <c r="H4" s="362"/>
      <c r="I4" s="362"/>
      <c r="J4" s="362"/>
      <c r="K4" s="362"/>
      <c r="L4" s="362"/>
    </row>
    <row r="5" spans="1:15" s="2" customFormat="1" ht="33.75" customHeight="1">
      <c r="A5" s="379" t="s">
        <v>580</v>
      </c>
      <c r="B5" s="379"/>
      <c r="C5" s="379"/>
      <c r="D5" s="379"/>
      <c r="E5" s="379"/>
      <c r="F5" s="379"/>
      <c r="G5" s="379"/>
      <c r="H5" s="379"/>
      <c r="I5" s="379"/>
      <c r="J5" s="379"/>
      <c r="K5" s="379"/>
      <c r="L5" s="379"/>
    </row>
    <row r="6" spans="1:15" s="4" customFormat="1" ht="15" customHeight="1">
      <c r="A6" s="364" t="s">
        <v>2</v>
      </c>
      <c r="B6" s="367" t="s">
        <v>3</v>
      </c>
      <c r="C6" s="370" t="s">
        <v>5</v>
      </c>
      <c r="D6" s="371"/>
      <c r="E6" s="371"/>
      <c r="F6" s="371"/>
      <c r="G6" s="367"/>
      <c r="H6" s="409" t="s">
        <v>577</v>
      </c>
      <c r="I6" s="409"/>
      <c r="J6" s="409"/>
      <c r="K6" s="338" t="s">
        <v>15</v>
      </c>
      <c r="L6" s="380" t="s">
        <v>16</v>
      </c>
    </row>
    <row r="7" spans="1:15" s="6" customFormat="1" ht="44.25" customHeight="1">
      <c r="A7" s="365"/>
      <c r="B7" s="368"/>
      <c r="C7" s="372"/>
      <c r="D7" s="373"/>
      <c r="E7" s="373"/>
      <c r="F7" s="373"/>
      <c r="G7" s="369"/>
      <c r="H7" s="409"/>
      <c r="I7" s="409"/>
      <c r="J7" s="409"/>
      <c r="K7" s="339"/>
      <c r="L7" s="381"/>
    </row>
    <row r="8" spans="1:15" s="6" customFormat="1" ht="64.5" customHeight="1">
      <c r="A8" s="366"/>
      <c r="B8" s="369"/>
      <c r="C8" s="8" t="s">
        <v>20</v>
      </c>
      <c r="D8" s="8" t="s">
        <v>21</v>
      </c>
      <c r="E8" s="9" t="s">
        <v>519</v>
      </c>
      <c r="F8" s="8" t="s">
        <v>22</v>
      </c>
      <c r="G8" s="8" t="s">
        <v>23</v>
      </c>
      <c r="H8" s="13" t="s">
        <v>575</v>
      </c>
      <c r="I8" s="5" t="s">
        <v>576</v>
      </c>
      <c r="J8" s="20" t="s">
        <v>533</v>
      </c>
      <c r="K8" s="340"/>
      <c r="L8" s="382"/>
    </row>
    <row r="9" spans="1:15" s="26" customFormat="1" ht="34.5" customHeight="1">
      <c r="A9" s="22">
        <v>1</v>
      </c>
      <c r="B9" s="23">
        <v>2</v>
      </c>
      <c r="C9" s="23">
        <v>6</v>
      </c>
      <c r="D9" s="22">
        <v>7</v>
      </c>
      <c r="E9" s="23">
        <v>8</v>
      </c>
      <c r="F9" s="22">
        <v>9</v>
      </c>
      <c r="G9" s="23">
        <v>10</v>
      </c>
      <c r="H9" s="192"/>
      <c r="I9" s="23">
        <v>18</v>
      </c>
      <c r="J9" s="25" t="s">
        <v>41</v>
      </c>
      <c r="K9" s="25" t="s">
        <v>42</v>
      </c>
      <c r="L9" s="25">
        <v>34</v>
      </c>
    </row>
    <row r="10" spans="1:15" s="31" customFormat="1" ht="34.5" customHeight="1">
      <c r="A10" s="383" t="s">
        <v>43</v>
      </c>
      <c r="B10" s="384"/>
      <c r="C10" s="27"/>
      <c r="D10" s="27"/>
      <c r="E10" s="29"/>
      <c r="F10" s="30"/>
      <c r="G10" s="30"/>
      <c r="H10" s="30">
        <f>SUM(H11:H359)</f>
        <v>75649.999999999985</v>
      </c>
      <c r="I10" s="30"/>
      <c r="J10" s="168">
        <f t="shared" ref="J10:K10" si="0">SUM(J11:J359)</f>
        <v>3026000000</v>
      </c>
      <c r="K10" s="168">
        <f t="shared" si="0"/>
        <v>3026000000</v>
      </c>
      <c r="L10" s="30"/>
      <c r="M10" s="26"/>
      <c r="N10" s="26"/>
      <c r="O10" s="26"/>
    </row>
    <row r="11" spans="1:15" s="47" customFormat="1" ht="39.75" customHeight="1">
      <c r="A11" s="307">
        <v>1</v>
      </c>
      <c r="B11" s="33" t="s">
        <v>44</v>
      </c>
      <c r="C11" s="34">
        <v>304</v>
      </c>
      <c r="D11" s="34">
        <v>28</v>
      </c>
      <c r="E11" s="35">
        <v>477.4</v>
      </c>
      <c r="F11" s="34" t="s">
        <v>45</v>
      </c>
      <c r="G11" s="36" t="s">
        <v>46</v>
      </c>
      <c r="H11" s="39">
        <v>477.4</v>
      </c>
      <c r="I11" s="40">
        <v>40000</v>
      </c>
      <c r="J11" s="41">
        <f>H11*I11</f>
        <v>19096000</v>
      </c>
      <c r="K11" s="54">
        <f>SUM(J11:J17)</f>
        <v>94188000</v>
      </c>
      <c r="L11" s="45"/>
      <c r="M11" s="46"/>
      <c r="N11" s="46"/>
      <c r="O11" s="46"/>
    </row>
    <row r="12" spans="1:15" s="47" customFormat="1" ht="39.75" customHeight="1">
      <c r="A12" s="308"/>
      <c r="B12" s="33" t="s">
        <v>44</v>
      </c>
      <c r="C12" s="48">
        <v>303</v>
      </c>
      <c r="D12" s="48">
        <v>28</v>
      </c>
      <c r="E12" s="49">
        <v>521.6</v>
      </c>
      <c r="F12" s="34" t="s">
        <v>49</v>
      </c>
      <c r="G12" s="36" t="s">
        <v>50</v>
      </c>
      <c r="H12" s="39">
        <v>17.800000000000026</v>
      </c>
      <c r="I12" s="40">
        <v>40000</v>
      </c>
      <c r="J12" s="41">
        <f t="shared" ref="J12:J75" si="1">H12*I12</f>
        <v>712000.00000000105</v>
      </c>
      <c r="K12" s="55"/>
      <c r="L12" s="45"/>
      <c r="M12" s="46"/>
      <c r="N12" s="46"/>
      <c r="O12" s="46"/>
    </row>
    <row r="13" spans="1:15" s="47" customFormat="1" ht="39.75" customHeight="1">
      <c r="A13" s="308"/>
      <c r="B13" s="33" t="s">
        <v>44</v>
      </c>
      <c r="C13" s="52">
        <v>209</v>
      </c>
      <c r="D13" s="52">
        <v>28</v>
      </c>
      <c r="E13" s="53">
        <v>272.89999999999998</v>
      </c>
      <c r="F13" s="53" t="s">
        <v>49</v>
      </c>
      <c r="G13" s="53" t="s">
        <v>50</v>
      </c>
      <c r="H13" s="39">
        <v>272.89999999999998</v>
      </c>
      <c r="I13" s="40">
        <v>40000</v>
      </c>
      <c r="J13" s="41">
        <f t="shared" si="1"/>
        <v>10916000</v>
      </c>
      <c r="K13" s="55"/>
      <c r="L13" s="45"/>
      <c r="M13" s="46"/>
      <c r="N13" s="46"/>
      <c r="O13" s="46"/>
    </row>
    <row r="14" spans="1:15" s="47" customFormat="1" ht="39.75" customHeight="1">
      <c r="A14" s="308"/>
      <c r="B14" s="33" t="s">
        <v>44</v>
      </c>
      <c r="C14" s="34">
        <v>245</v>
      </c>
      <c r="D14" s="34">
        <v>21</v>
      </c>
      <c r="E14" s="35">
        <v>754</v>
      </c>
      <c r="F14" s="34" t="s">
        <v>45</v>
      </c>
      <c r="G14" s="36" t="s">
        <v>54</v>
      </c>
      <c r="H14" s="39">
        <v>754</v>
      </c>
      <c r="I14" s="40">
        <v>40000</v>
      </c>
      <c r="J14" s="41">
        <f t="shared" si="1"/>
        <v>30160000</v>
      </c>
      <c r="K14" s="55"/>
      <c r="L14" s="45"/>
      <c r="M14" s="46"/>
      <c r="N14" s="46"/>
      <c r="O14" s="46"/>
    </row>
    <row r="15" spans="1:15" s="47" customFormat="1" ht="39.75" customHeight="1">
      <c r="A15" s="308"/>
      <c r="B15" s="33" t="s">
        <v>44</v>
      </c>
      <c r="C15" s="34">
        <v>201</v>
      </c>
      <c r="D15" s="34">
        <v>21</v>
      </c>
      <c r="E15" s="35">
        <v>359</v>
      </c>
      <c r="F15" s="34" t="s">
        <v>45</v>
      </c>
      <c r="G15" s="36" t="s">
        <v>54</v>
      </c>
      <c r="H15" s="39">
        <v>359</v>
      </c>
      <c r="I15" s="40">
        <v>40000</v>
      </c>
      <c r="J15" s="41">
        <f t="shared" si="1"/>
        <v>14360000</v>
      </c>
      <c r="K15" s="55"/>
      <c r="L15" s="45"/>
      <c r="M15" s="46"/>
      <c r="N15" s="46"/>
      <c r="O15" s="46"/>
    </row>
    <row r="16" spans="1:15" s="47" customFormat="1" ht="39.75" customHeight="1">
      <c r="A16" s="308"/>
      <c r="B16" s="33" t="s">
        <v>44</v>
      </c>
      <c r="C16" s="34">
        <v>62</v>
      </c>
      <c r="D16" s="34">
        <v>28</v>
      </c>
      <c r="E16" s="35">
        <v>110.1</v>
      </c>
      <c r="F16" s="34" t="s">
        <v>55</v>
      </c>
      <c r="G16" s="36" t="s">
        <v>56</v>
      </c>
      <c r="H16" s="39">
        <v>110.1</v>
      </c>
      <c r="I16" s="40">
        <v>40000</v>
      </c>
      <c r="J16" s="41">
        <f t="shared" si="1"/>
        <v>4404000</v>
      </c>
      <c r="K16" s="55"/>
      <c r="L16" s="45"/>
      <c r="M16" s="46"/>
      <c r="N16" s="46"/>
      <c r="O16" s="46"/>
    </row>
    <row r="17" spans="1:15" s="47" customFormat="1" ht="39.75" customHeight="1">
      <c r="A17" s="309"/>
      <c r="B17" s="33" t="s">
        <v>44</v>
      </c>
      <c r="C17" s="34">
        <v>297</v>
      </c>
      <c r="D17" s="34">
        <v>28</v>
      </c>
      <c r="E17" s="35">
        <v>363.5</v>
      </c>
      <c r="F17" s="34" t="s">
        <v>49</v>
      </c>
      <c r="G17" s="36" t="s">
        <v>57</v>
      </c>
      <c r="H17" s="39">
        <v>363.5</v>
      </c>
      <c r="I17" s="40">
        <v>40000</v>
      </c>
      <c r="J17" s="41">
        <f t="shared" si="1"/>
        <v>14540000</v>
      </c>
      <c r="K17" s="62"/>
      <c r="L17" s="45"/>
      <c r="M17" s="46"/>
      <c r="N17" s="46"/>
      <c r="O17" s="46"/>
    </row>
    <row r="18" spans="1:15" s="47" customFormat="1" ht="39.75" customHeight="1">
      <c r="A18" s="32">
        <v>2</v>
      </c>
      <c r="B18" s="33" t="s">
        <v>59</v>
      </c>
      <c r="C18" s="34">
        <v>96</v>
      </c>
      <c r="D18" s="34">
        <v>28</v>
      </c>
      <c r="E18" s="35">
        <v>375.6</v>
      </c>
      <c r="F18" s="34" t="s">
        <v>55</v>
      </c>
      <c r="G18" s="36" t="s">
        <v>60</v>
      </c>
      <c r="H18" s="39">
        <v>199.8</v>
      </c>
      <c r="I18" s="40">
        <v>40000</v>
      </c>
      <c r="J18" s="41">
        <f t="shared" si="1"/>
        <v>7992000</v>
      </c>
      <c r="K18" s="54">
        <f>J18</f>
        <v>7992000</v>
      </c>
      <c r="L18" s="45"/>
      <c r="M18" s="46"/>
      <c r="N18" s="46"/>
      <c r="O18" s="46"/>
    </row>
    <row r="19" spans="1:15" s="47" customFormat="1" ht="39.75" customHeight="1">
      <c r="A19" s="32">
        <f t="shared" ref="A19" si="2">IF(B19=B18,A18,A18+1)</f>
        <v>3</v>
      </c>
      <c r="B19" s="33" t="s">
        <v>61</v>
      </c>
      <c r="C19" s="34">
        <v>96</v>
      </c>
      <c r="D19" s="34">
        <v>28</v>
      </c>
      <c r="E19" s="35">
        <v>375.6</v>
      </c>
      <c r="F19" s="34" t="s">
        <v>55</v>
      </c>
      <c r="G19" s="36" t="s">
        <v>60</v>
      </c>
      <c r="H19" s="39">
        <v>175.8</v>
      </c>
      <c r="I19" s="40">
        <v>40000</v>
      </c>
      <c r="J19" s="41">
        <f t="shared" si="1"/>
        <v>7032000</v>
      </c>
      <c r="K19" s="76">
        <f>J19</f>
        <v>7032000</v>
      </c>
      <c r="L19" s="45"/>
      <c r="M19" s="46"/>
      <c r="N19" s="46"/>
      <c r="O19" s="46"/>
    </row>
    <row r="20" spans="1:15" s="47" customFormat="1" ht="39.75" customHeight="1">
      <c r="A20" s="307">
        <v>4</v>
      </c>
      <c r="B20" s="33" t="s">
        <v>62</v>
      </c>
      <c r="C20" s="34">
        <v>33</v>
      </c>
      <c r="D20" s="34">
        <v>28</v>
      </c>
      <c r="E20" s="35">
        <v>405.8</v>
      </c>
      <c r="F20" s="34" t="s">
        <v>45</v>
      </c>
      <c r="G20" s="36" t="s">
        <v>63</v>
      </c>
      <c r="H20" s="39">
        <v>405.8</v>
      </c>
      <c r="I20" s="40">
        <v>40000</v>
      </c>
      <c r="J20" s="41">
        <f t="shared" si="1"/>
        <v>16232000</v>
      </c>
      <c r="K20" s="313">
        <f>SUM(J20:J24)</f>
        <v>35920000</v>
      </c>
      <c r="L20" s="45"/>
      <c r="M20" s="46"/>
      <c r="N20" s="46"/>
      <c r="O20" s="46"/>
    </row>
    <row r="21" spans="1:15" s="47" customFormat="1" ht="39.75" customHeight="1">
      <c r="A21" s="308"/>
      <c r="B21" s="33" t="s">
        <v>62</v>
      </c>
      <c r="C21" s="34">
        <v>472</v>
      </c>
      <c r="D21" s="34">
        <v>28</v>
      </c>
      <c r="E21" s="35">
        <v>57.3</v>
      </c>
      <c r="F21" s="34" t="s">
        <v>49</v>
      </c>
      <c r="G21" s="36" t="s">
        <v>57</v>
      </c>
      <c r="H21" s="39">
        <v>57.3</v>
      </c>
      <c r="I21" s="40">
        <v>40000</v>
      </c>
      <c r="J21" s="41">
        <f t="shared" si="1"/>
        <v>2292000</v>
      </c>
      <c r="K21" s="314"/>
      <c r="L21" s="56"/>
      <c r="M21" s="46"/>
      <c r="N21" s="46"/>
      <c r="O21" s="46"/>
    </row>
    <row r="22" spans="1:15" s="47" customFormat="1" ht="39.75" customHeight="1">
      <c r="A22" s="308"/>
      <c r="B22" s="33" t="s">
        <v>62</v>
      </c>
      <c r="C22" s="34">
        <v>387</v>
      </c>
      <c r="D22" s="34">
        <v>28</v>
      </c>
      <c r="E22" s="35">
        <v>156.4</v>
      </c>
      <c r="F22" s="34" t="s">
        <v>49</v>
      </c>
      <c r="G22" s="36" t="s">
        <v>57</v>
      </c>
      <c r="H22" s="39">
        <v>156.4</v>
      </c>
      <c r="I22" s="40">
        <v>40000</v>
      </c>
      <c r="J22" s="41">
        <f t="shared" si="1"/>
        <v>6256000</v>
      </c>
      <c r="K22" s="314"/>
      <c r="L22" s="45"/>
      <c r="M22" s="46"/>
      <c r="N22" s="46"/>
      <c r="O22" s="46"/>
    </row>
    <row r="23" spans="1:15" s="47" customFormat="1" ht="39.75" customHeight="1">
      <c r="A23" s="308"/>
      <c r="B23" s="33" t="s">
        <v>62</v>
      </c>
      <c r="C23" s="34">
        <v>291</v>
      </c>
      <c r="D23" s="34">
        <v>28</v>
      </c>
      <c r="E23" s="35">
        <v>111.4</v>
      </c>
      <c r="F23" s="34" t="s">
        <v>49</v>
      </c>
      <c r="G23" s="36" t="s">
        <v>50</v>
      </c>
      <c r="H23" s="39">
        <v>111.4</v>
      </c>
      <c r="I23" s="40">
        <v>40000</v>
      </c>
      <c r="J23" s="41">
        <f t="shared" si="1"/>
        <v>4456000</v>
      </c>
      <c r="K23" s="314"/>
      <c r="L23" s="45"/>
      <c r="M23" s="46"/>
      <c r="N23" s="46"/>
      <c r="O23" s="46"/>
    </row>
    <row r="24" spans="1:15" s="47" customFormat="1" ht="39.75" customHeight="1">
      <c r="A24" s="308"/>
      <c r="B24" s="33" t="s">
        <v>62</v>
      </c>
      <c r="C24" s="34">
        <v>468</v>
      </c>
      <c r="D24" s="34">
        <v>28</v>
      </c>
      <c r="E24" s="35">
        <v>167.1</v>
      </c>
      <c r="F24" s="34" t="s">
        <v>49</v>
      </c>
      <c r="G24" s="36" t="s">
        <v>57</v>
      </c>
      <c r="H24" s="39">
        <v>167.1</v>
      </c>
      <c r="I24" s="40">
        <v>40000</v>
      </c>
      <c r="J24" s="41">
        <f t="shared" si="1"/>
        <v>6684000</v>
      </c>
      <c r="K24" s="314"/>
      <c r="L24" s="45"/>
      <c r="M24" s="46"/>
      <c r="N24" s="46"/>
      <c r="O24" s="46"/>
    </row>
    <row r="25" spans="1:15" s="47" customFormat="1" ht="39.75" customHeight="1">
      <c r="A25" s="307">
        <v>5</v>
      </c>
      <c r="B25" s="33" t="s">
        <v>67</v>
      </c>
      <c r="C25" s="34">
        <v>360</v>
      </c>
      <c r="D25" s="34">
        <v>28</v>
      </c>
      <c r="E25" s="35">
        <v>46.9</v>
      </c>
      <c r="F25" s="34" t="s">
        <v>45</v>
      </c>
      <c r="G25" s="36" t="s">
        <v>57</v>
      </c>
      <c r="H25" s="39">
        <v>46.9</v>
      </c>
      <c r="I25" s="40">
        <v>40000</v>
      </c>
      <c r="J25" s="41">
        <f t="shared" si="1"/>
        <v>1876000</v>
      </c>
      <c r="K25" s="313">
        <f>SUM(J25:J28)</f>
        <v>20808000</v>
      </c>
      <c r="L25" s="45"/>
      <c r="M25" s="46"/>
      <c r="N25" s="46"/>
      <c r="O25" s="46"/>
    </row>
    <row r="26" spans="1:15" s="47" customFormat="1" ht="39.75" customHeight="1">
      <c r="A26" s="308"/>
      <c r="B26" s="33" t="s">
        <v>67</v>
      </c>
      <c r="C26" s="34">
        <v>361</v>
      </c>
      <c r="D26" s="34">
        <v>28</v>
      </c>
      <c r="E26" s="35">
        <v>110.1</v>
      </c>
      <c r="F26" s="34" t="s">
        <v>45</v>
      </c>
      <c r="G26" s="36" t="s">
        <v>57</v>
      </c>
      <c r="H26" s="39">
        <v>110.1</v>
      </c>
      <c r="I26" s="40">
        <v>40000</v>
      </c>
      <c r="J26" s="41">
        <f t="shared" si="1"/>
        <v>4404000</v>
      </c>
      <c r="K26" s="314"/>
      <c r="L26" s="45"/>
      <c r="M26" s="46"/>
      <c r="N26" s="46"/>
      <c r="O26" s="46"/>
    </row>
    <row r="27" spans="1:15" s="47" customFormat="1" ht="39.75" customHeight="1">
      <c r="A27" s="308"/>
      <c r="B27" s="33" t="s">
        <v>67</v>
      </c>
      <c r="C27" s="34">
        <v>270</v>
      </c>
      <c r="D27" s="34">
        <v>28</v>
      </c>
      <c r="E27" s="35">
        <v>250</v>
      </c>
      <c r="F27" s="34" t="s">
        <v>45</v>
      </c>
      <c r="G27" s="36" t="s">
        <v>60</v>
      </c>
      <c r="H27" s="39">
        <v>250</v>
      </c>
      <c r="I27" s="40">
        <v>40000</v>
      </c>
      <c r="J27" s="41">
        <f t="shared" si="1"/>
        <v>10000000</v>
      </c>
      <c r="K27" s="314"/>
      <c r="L27" s="45"/>
      <c r="M27" s="46"/>
      <c r="N27" s="46"/>
      <c r="O27" s="46"/>
    </row>
    <row r="28" spans="1:15" s="47" customFormat="1" ht="39.75" customHeight="1">
      <c r="A28" s="308"/>
      <c r="B28" s="33" t="s">
        <v>67</v>
      </c>
      <c r="C28" s="34">
        <v>95</v>
      </c>
      <c r="D28" s="34">
        <v>28</v>
      </c>
      <c r="E28" s="35">
        <v>113.2</v>
      </c>
      <c r="F28" s="34" t="s">
        <v>55</v>
      </c>
      <c r="G28" s="36" t="s">
        <v>46</v>
      </c>
      <c r="H28" s="39">
        <v>113.2</v>
      </c>
      <c r="I28" s="40">
        <v>40000</v>
      </c>
      <c r="J28" s="41">
        <f t="shared" si="1"/>
        <v>4528000</v>
      </c>
      <c r="K28" s="314"/>
      <c r="L28" s="45"/>
      <c r="M28" s="46"/>
      <c r="N28" s="46"/>
      <c r="O28" s="46"/>
    </row>
    <row r="29" spans="1:15" s="47" customFormat="1" ht="39.75" customHeight="1">
      <c r="A29" s="307">
        <v>6</v>
      </c>
      <c r="B29" s="33" t="s">
        <v>73</v>
      </c>
      <c r="C29" s="34">
        <v>386</v>
      </c>
      <c r="D29" s="34">
        <v>28</v>
      </c>
      <c r="E29" s="35">
        <v>320.5</v>
      </c>
      <c r="F29" s="34" t="s">
        <v>49</v>
      </c>
      <c r="G29" s="36" t="s">
        <v>74</v>
      </c>
      <c r="H29" s="39">
        <v>320.5</v>
      </c>
      <c r="I29" s="40">
        <v>40000</v>
      </c>
      <c r="J29" s="41">
        <f t="shared" si="1"/>
        <v>12820000</v>
      </c>
      <c r="K29" s="313">
        <f>SUM(J29:J30)</f>
        <v>18776000</v>
      </c>
      <c r="L29" s="45"/>
      <c r="M29" s="46"/>
      <c r="N29" s="46"/>
      <c r="O29" s="46"/>
    </row>
    <row r="30" spans="1:15" s="47" customFormat="1" ht="39.75" customHeight="1">
      <c r="A30" s="309"/>
      <c r="B30" s="33" t="s">
        <v>73</v>
      </c>
      <c r="C30" s="34">
        <v>451</v>
      </c>
      <c r="D30" s="34">
        <v>28</v>
      </c>
      <c r="E30" s="35">
        <v>148.9</v>
      </c>
      <c r="F30" s="34" t="s">
        <v>49</v>
      </c>
      <c r="G30" s="36" t="s">
        <v>74</v>
      </c>
      <c r="H30" s="39">
        <v>148.9</v>
      </c>
      <c r="I30" s="40">
        <v>40000</v>
      </c>
      <c r="J30" s="41">
        <f t="shared" si="1"/>
        <v>5956000</v>
      </c>
      <c r="K30" s="315"/>
      <c r="L30" s="45"/>
      <c r="M30" s="46"/>
      <c r="N30" s="46"/>
      <c r="O30" s="46"/>
    </row>
    <row r="31" spans="1:15" s="47" customFormat="1" ht="39.75" customHeight="1">
      <c r="A31" s="151">
        <v>7</v>
      </c>
      <c r="B31" s="33" t="s">
        <v>75</v>
      </c>
      <c r="C31" s="34">
        <v>391</v>
      </c>
      <c r="D31" s="34">
        <v>28</v>
      </c>
      <c r="E31" s="35">
        <v>119.6</v>
      </c>
      <c r="F31" s="34" t="s">
        <v>49</v>
      </c>
      <c r="G31" s="36" t="s">
        <v>57</v>
      </c>
      <c r="H31" s="39">
        <v>119.6</v>
      </c>
      <c r="I31" s="40">
        <v>40000</v>
      </c>
      <c r="J31" s="41">
        <f t="shared" si="1"/>
        <v>4784000</v>
      </c>
      <c r="K31" s="54">
        <f>J31</f>
        <v>4784000</v>
      </c>
      <c r="L31" s="45"/>
      <c r="M31" s="46"/>
      <c r="N31" s="46"/>
      <c r="O31" s="46"/>
    </row>
    <row r="32" spans="1:15" s="47" customFormat="1" ht="39.75" customHeight="1">
      <c r="A32" s="32">
        <v>8</v>
      </c>
      <c r="B32" s="33" t="s">
        <v>76</v>
      </c>
      <c r="C32" s="34">
        <v>68</v>
      </c>
      <c r="D32" s="34">
        <v>28</v>
      </c>
      <c r="E32" s="35">
        <v>194.7</v>
      </c>
      <c r="F32" s="34" t="s">
        <v>55</v>
      </c>
      <c r="G32" s="36" t="s">
        <v>60</v>
      </c>
      <c r="H32" s="39">
        <v>194.7</v>
      </c>
      <c r="I32" s="40">
        <v>40000</v>
      </c>
      <c r="J32" s="41">
        <f t="shared" si="1"/>
        <v>7788000</v>
      </c>
      <c r="K32" s="64">
        <f>J32</f>
        <v>7788000</v>
      </c>
      <c r="L32" s="45"/>
      <c r="M32" s="46"/>
      <c r="N32" s="46"/>
      <c r="O32" s="46"/>
    </row>
    <row r="33" spans="1:15" s="47" customFormat="1" ht="39.75" customHeight="1">
      <c r="A33" s="307">
        <v>9</v>
      </c>
      <c r="B33" s="33" t="s">
        <v>77</v>
      </c>
      <c r="C33" s="34">
        <v>123</v>
      </c>
      <c r="D33" s="34">
        <v>28</v>
      </c>
      <c r="E33" s="35">
        <v>180.7</v>
      </c>
      <c r="F33" s="34" t="s">
        <v>55</v>
      </c>
      <c r="G33" s="36" t="s">
        <v>60</v>
      </c>
      <c r="H33" s="39">
        <v>180.7</v>
      </c>
      <c r="I33" s="40">
        <v>40000</v>
      </c>
      <c r="J33" s="41">
        <f t="shared" si="1"/>
        <v>7228000</v>
      </c>
      <c r="K33" s="313">
        <f>SUM(J33:J34)</f>
        <v>7708000</v>
      </c>
      <c r="L33" s="45"/>
      <c r="M33" s="46"/>
      <c r="N33" s="46"/>
      <c r="O33" s="46"/>
    </row>
    <row r="34" spans="1:15" s="47" customFormat="1" ht="39.75" customHeight="1">
      <c r="A34" s="309"/>
      <c r="B34" s="33" t="s">
        <v>77</v>
      </c>
      <c r="C34" s="34">
        <v>122</v>
      </c>
      <c r="D34" s="34">
        <v>28</v>
      </c>
      <c r="E34" s="35">
        <v>204.8</v>
      </c>
      <c r="F34" s="34" t="s">
        <v>55</v>
      </c>
      <c r="G34" s="36" t="s">
        <v>60</v>
      </c>
      <c r="H34" s="39">
        <v>12</v>
      </c>
      <c r="I34" s="40">
        <v>40000</v>
      </c>
      <c r="J34" s="41">
        <f t="shared" si="1"/>
        <v>480000</v>
      </c>
      <c r="K34" s="315"/>
      <c r="L34" s="45"/>
      <c r="M34" s="46"/>
      <c r="N34" s="46"/>
      <c r="O34" s="46"/>
    </row>
    <row r="35" spans="1:15" s="47" customFormat="1" ht="39.75" customHeight="1">
      <c r="A35" s="151">
        <v>10</v>
      </c>
      <c r="B35" s="33" t="s">
        <v>79</v>
      </c>
      <c r="C35" s="34">
        <v>122</v>
      </c>
      <c r="D35" s="34">
        <v>28</v>
      </c>
      <c r="E35" s="35">
        <v>204.8</v>
      </c>
      <c r="F35" s="34" t="s">
        <v>55</v>
      </c>
      <c r="G35" s="36" t="s">
        <v>60</v>
      </c>
      <c r="H35" s="39">
        <v>192.8</v>
      </c>
      <c r="I35" s="40">
        <v>40000</v>
      </c>
      <c r="J35" s="41">
        <f t="shared" si="1"/>
        <v>7712000</v>
      </c>
      <c r="K35" s="54">
        <f>J35</f>
        <v>7712000</v>
      </c>
      <c r="L35" s="50"/>
      <c r="M35" s="46"/>
      <c r="N35" s="46"/>
      <c r="O35" s="46"/>
    </row>
    <row r="36" spans="1:15" s="47" customFormat="1" ht="63" customHeight="1">
      <c r="A36" s="32">
        <v>11</v>
      </c>
      <c r="B36" s="33" t="s">
        <v>82</v>
      </c>
      <c r="C36" s="34">
        <v>251</v>
      </c>
      <c r="D36" s="34">
        <v>21</v>
      </c>
      <c r="E36" s="35">
        <v>247.1</v>
      </c>
      <c r="F36" s="34" t="s">
        <v>45</v>
      </c>
      <c r="G36" s="36" t="s">
        <v>54</v>
      </c>
      <c r="H36" s="39">
        <v>247.1</v>
      </c>
      <c r="I36" s="40">
        <v>40000</v>
      </c>
      <c r="J36" s="41">
        <f t="shared" si="1"/>
        <v>9884000</v>
      </c>
      <c r="K36" s="64">
        <f>J36</f>
        <v>9884000</v>
      </c>
      <c r="L36" s="45" t="s">
        <v>83</v>
      </c>
      <c r="M36" s="46"/>
      <c r="N36" s="46"/>
      <c r="O36" s="46"/>
    </row>
    <row r="37" spans="1:15" s="47" customFormat="1" ht="45" customHeight="1">
      <c r="A37" s="307">
        <v>12</v>
      </c>
      <c r="B37" s="33" t="s">
        <v>84</v>
      </c>
      <c r="C37" s="34">
        <v>88</v>
      </c>
      <c r="D37" s="34">
        <v>28</v>
      </c>
      <c r="E37" s="35">
        <v>239.2</v>
      </c>
      <c r="F37" s="34" t="s">
        <v>49</v>
      </c>
      <c r="G37" s="36" t="s">
        <v>50</v>
      </c>
      <c r="H37" s="39">
        <v>239.2</v>
      </c>
      <c r="I37" s="40">
        <v>40000</v>
      </c>
      <c r="J37" s="41">
        <f t="shared" si="1"/>
        <v>9568000</v>
      </c>
      <c r="K37" s="313">
        <f>SUM(J37:J42)</f>
        <v>41228000</v>
      </c>
      <c r="L37" s="45"/>
      <c r="M37" s="46"/>
      <c r="N37" s="46"/>
      <c r="O37" s="46"/>
    </row>
    <row r="38" spans="1:15" s="47" customFormat="1" ht="45" customHeight="1">
      <c r="A38" s="308"/>
      <c r="B38" s="33" t="s">
        <v>84</v>
      </c>
      <c r="C38" s="34">
        <v>474</v>
      </c>
      <c r="D38" s="34">
        <v>28</v>
      </c>
      <c r="E38" s="35">
        <v>196.9</v>
      </c>
      <c r="F38" s="34" t="s">
        <v>49</v>
      </c>
      <c r="G38" s="36" t="s">
        <v>57</v>
      </c>
      <c r="H38" s="39">
        <v>196.9</v>
      </c>
      <c r="I38" s="40">
        <v>40000</v>
      </c>
      <c r="J38" s="41">
        <f t="shared" si="1"/>
        <v>7876000</v>
      </c>
      <c r="K38" s="314"/>
      <c r="L38" s="45"/>
      <c r="M38" s="46"/>
      <c r="N38" s="46"/>
      <c r="O38" s="46"/>
    </row>
    <row r="39" spans="1:15" s="47" customFormat="1" ht="45" customHeight="1">
      <c r="A39" s="308"/>
      <c r="B39" s="33" t="s">
        <v>84</v>
      </c>
      <c r="C39" s="34">
        <v>475</v>
      </c>
      <c r="D39" s="34">
        <v>28</v>
      </c>
      <c r="E39" s="35">
        <v>105.4</v>
      </c>
      <c r="F39" s="34" t="s">
        <v>49</v>
      </c>
      <c r="G39" s="36" t="s">
        <v>57</v>
      </c>
      <c r="H39" s="39">
        <v>105.4</v>
      </c>
      <c r="I39" s="40">
        <v>40000</v>
      </c>
      <c r="J39" s="41">
        <f t="shared" si="1"/>
        <v>4216000</v>
      </c>
      <c r="K39" s="314"/>
      <c r="L39" s="45"/>
      <c r="M39" s="46"/>
      <c r="N39" s="46"/>
      <c r="O39" s="46"/>
    </row>
    <row r="40" spans="1:15" s="47" customFormat="1" ht="45" customHeight="1">
      <c r="A40" s="308"/>
      <c r="B40" s="33" t="s">
        <v>84</v>
      </c>
      <c r="C40" s="34">
        <v>235</v>
      </c>
      <c r="D40" s="34">
        <v>21</v>
      </c>
      <c r="E40" s="35">
        <v>142.19999999999999</v>
      </c>
      <c r="F40" s="34" t="s">
        <v>49</v>
      </c>
      <c r="G40" s="36" t="s">
        <v>54</v>
      </c>
      <c r="H40" s="39">
        <v>142.19999999999999</v>
      </c>
      <c r="I40" s="40">
        <v>40000</v>
      </c>
      <c r="J40" s="41">
        <f t="shared" si="1"/>
        <v>5688000</v>
      </c>
      <c r="K40" s="314"/>
      <c r="L40" s="45"/>
      <c r="M40" s="46"/>
      <c r="N40" s="46"/>
      <c r="O40" s="46"/>
    </row>
    <row r="41" spans="1:15" s="47" customFormat="1" ht="45" customHeight="1">
      <c r="A41" s="308"/>
      <c r="B41" s="33" t="s">
        <v>84</v>
      </c>
      <c r="C41" s="34">
        <v>200</v>
      </c>
      <c r="D41" s="34">
        <v>21</v>
      </c>
      <c r="E41" s="35">
        <v>206</v>
      </c>
      <c r="F41" s="34" t="s">
        <v>55</v>
      </c>
      <c r="G41" s="36" t="s">
        <v>54</v>
      </c>
      <c r="H41" s="39">
        <v>206</v>
      </c>
      <c r="I41" s="40">
        <v>40000</v>
      </c>
      <c r="J41" s="41">
        <f t="shared" si="1"/>
        <v>8240000</v>
      </c>
      <c r="K41" s="314"/>
      <c r="L41" s="45"/>
      <c r="M41" s="46"/>
      <c r="N41" s="46"/>
      <c r="O41" s="46"/>
    </row>
    <row r="42" spans="1:15" s="47" customFormat="1" ht="45" customHeight="1">
      <c r="A42" s="309"/>
      <c r="B42" s="33" t="s">
        <v>84</v>
      </c>
      <c r="C42" s="34">
        <v>199</v>
      </c>
      <c r="D42" s="34">
        <v>21</v>
      </c>
      <c r="E42" s="35">
        <v>141</v>
      </c>
      <c r="F42" s="34" t="s">
        <v>55</v>
      </c>
      <c r="G42" s="36" t="s">
        <v>54</v>
      </c>
      <c r="H42" s="39">
        <v>141</v>
      </c>
      <c r="I42" s="40">
        <v>40000</v>
      </c>
      <c r="J42" s="41">
        <f t="shared" si="1"/>
        <v>5640000</v>
      </c>
      <c r="K42" s="315"/>
      <c r="L42" s="45"/>
      <c r="M42" s="46"/>
      <c r="N42" s="46"/>
      <c r="O42" s="46"/>
    </row>
    <row r="43" spans="1:15" s="47" customFormat="1" ht="45" customHeight="1">
      <c r="A43" s="151">
        <v>13</v>
      </c>
      <c r="B43" s="65" t="s">
        <v>91</v>
      </c>
      <c r="C43" s="34">
        <v>126</v>
      </c>
      <c r="D43" s="34">
        <v>28</v>
      </c>
      <c r="E43" s="35">
        <v>117.6</v>
      </c>
      <c r="F43" s="34" t="s">
        <v>55</v>
      </c>
      <c r="G43" s="36" t="s">
        <v>60</v>
      </c>
      <c r="H43" s="39">
        <v>117.6</v>
      </c>
      <c r="I43" s="40">
        <v>40000</v>
      </c>
      <c r="J43" s="41">
        <f t="shared" si="1"/>
        <v>4704000</v>
      </c>
      <c r="K43" s="54">
        <f>J43</f>
        <v>4704000</v>
      </c>
      <c r="L43" s="45"/>
      <c r="M43" s="46"/>
      <c r="N43" s="46"/>
      <c r="O43" s="46"/>
    </row>
    <row r="44" spans="1:15" s="47" customFormat="1" ht="45" customHeight="1">
      <c r="A44" s="307">
        <v>14</v>
      </c>
      <c r="B44" s="33" t="s">
        <v>92</v>
      </c>
      <c r="C44" s="34">
        <v>193</v>
      </c>
      <c r="D44" s="34">
        <v>28</v>
      </c>
      <c r="E44" s="35">
        <v>720.4</v>
      </c>
      <c r="F44" s="34" t="s">
        <v>45</v>
      </c>
      <c r="G44" s="36" t="s">
        <v>60</v>
      </c>
      <c r="H44" s="39">
        <v>720.4</v>
      </c>
      <c r="I44" s="40">
        <v>40000</v>
      </c>
      <c r="J44" s="41">
        <f t="shared" si="1"/>
        <v>28816000</v>
      </c>
      <c r="K44" s="313">
        <f>SUM(J44:J45)</f>
        <v>32444000</v>
      </c>
      <c r="L44" s="45"/>
      <c r="M44" s="46"/>
      <c r="N44" s="46"/>
      <c r="O44" s="46"/>
    </row>
    <row r="45" spans="1:15" s="47" customFormat="1" ht="45" customHeight="1">
      <c r="A45" s="308"/>
      <c r="B45" s="33" t="s">
        <v>92</v>
      </c>
      <c r="C45" s="34">
        <v>101</v>
      </c>
      <c r="D45" s="34">
        <v>28</v>
      </c>
      <c r="E45" s="35">
        <v>90.7</v>
      </c>
      <c r="F45" s="34" t="s">
        <v>55</v>
      </c>
      <c r="G45" s="36" t="s">
        <v>56</v>
      </c>
      <c r="H45" s="39">
        <v>90.7</v>
      </c>
      <c r="I45" s="40">
        <v>40000</v>
      </c>
      <c r="J45" s="41">
        <f t="shared" si="1"/>
        <v>3628000</v>
      </c>
      <c r="K45" s="314"/>
      <c r="L45" s="45"/>
      <c r="M45" s="46"/>
      <c r="N45" s="46"/>
      <c r="O45" s="46"/>
    </row>
    <row r="46" spans="1:15" s="47" customFormat="1" ht="45" customHeight="1">
      <c r="A46" s="307">
        <v>15</v>
      </c>
      <c r="B46" s="33" t="s">
        <v>94</v>
      </c>
      <c r="C46" s="34" t="s">
        <v>95</v>
      </c>
      <c r="D46" s="34" t="s">
        <v>96</v>
      </c>
      <c r="E46" s="35">
        <v>496.9</v>
      </c>
      <c r="F46" s="34" t="s">
        <v>45</v>
      </c>
      <c r="G46" s="36" t="s">
        <v>54</v>
      </c>
      <c r="H46" s="39">
        <v>496.9</v>
      </c>
      <c r="I46" s="40">
        <v>40000</v>
      </c>
      <c r="J46" s="41">
        <f t="shared" si="1"/>
        <v>19876000</v>
      </c>
      <c r="K46" s="313">
        <f>SUM(J46:J49)</f>
        <v>33576000</v>
      </c>
      <c r="L46" s="45"/>
      <c r="M46" s="46"/>
      <c r="N46" s="46"/>
      <c r="O46" s="46"/>
    </row>
    <row r="47" spans="1:15" s="47" customFormat="1" ht="45" customHeight="1">
      <c r="A47" s="308"/>
      <c r="B47" s="33" t="s">
        <v>94</v>
      </c>
      <c r="C47" s="34" t="s">
        <v>98</v>
      </c>
      <c r="D47" s="34" t="s">
        <v>99</v>
      </c>
      <c r="E47" s="35">
        <v>96.9</v>
      </c>
      <c r="F47" s="34" t="s">
        <v>49</v>
      </c>
      <c r="G47" s="36" t="s">
        <v>50</v>
      </c>
      <c r="H47" s="39">
        <v>96.9</v>
      </c>
      <c r="I47" s="40">
        <v>40000</v>
      </c>
      <c r="J47" s="41">
        <f t="shared" si="1"/>
        <v>3876000</v>
      </c>
      <c r="K47" s="314"/>
      <c r="L47" s="45"/>
      <c r="M47" s="46"/>
      <c r="N47" s="46"/>
      <c r="O47" s="46"/>
    </row>
    <row r="48" spans="1:15" s="47" customFormat="1" ht="45" customHeight="1">
      <c r="A48" s="308"/>
      <c r="B48" s="33" t="s">
        <v>94</v>
      </c>
      <c r="C48" s="34" t="s">
        <v>101</v>
      </c>
      <c r="D48" s="34" t="s">
        <v>99</v>
      </c>
      <c r="E48" s="35">
        <v>138.1</v>
      </c>
      <c r="F48" s="34" t="s">
        <v>55</v>
      </c>
      <c r="G48" s="36" t="s">
        <v>60</v>
      </c>
      <c r="H48" s="39">
        <v>138.1</v>
      </c>
      <c r="I48" s="40">
        <v>40000</v>
      </c>
      <c r="J48" s="41">
        <f t="shared" si="1"/>
        <v>5524000</v>
      </c>
      <c r="K48" s="314"/>
      <c r="L48" s="45"/>
      <c r="M48" s="46"/>
      <c r="N48" s="46"/>
      <c r="O48" s="46"/>
    </row>
    <row r="49" spans="1:15" s="47" customFormat="1" ht="45" customHeight="1">
      <c r="A49" s="309"/>
      <c r="B49" s="33" t="s">
        <v>94</v>
      </c>
      <c r="C49" s="34" t="s">
        <v>103</v>
      </c>
      <c r="D49" s="34" t="s">
        <v>99</v>
      </c>
      <c r="E49" s="35">
        <v>107.5</v>
      </c>
      <c r="F49" s="34" t="s">
        <v>49</v>
      </c>
      <c r="G49" s="36" t="s">
        <v>57</v>
      </c>
      <c r="H49" s="39">
        <v>107.5</v>
      </c>
      <c r="I49" s="40">
        <v>40000</v>
      </c>
      <c r="J49" s="41">
        <f t="shared" si="1"/>
        <v>4300000</v>
      </c>
      <c r="K49" s="315"/>
      <c r="L49" s="45"/>
      <c r="M49" s="46"/>
      <c r="N49" s="46"/>
      <c r="O49" s="46"/>
    </row>
    <row r="50" spans="1:15" s="68" customFormat="1" ht="45" customHeight="1">
      <c r="A50" s="307">
        <v>16</v>
      </c>
      <c r="B50" s="33" t="s">
        <v>104</v>
      </c>
      <c r="C50" s="34">
        <v>92</v>
      </c>
      <c r="D50" s="34">
        <v>28</v>
      </c>
      <c r="E50" s="35">
        <v>387.7</v>
      </c>
      <c r="F50" s="34" t="s">
        <v>45</v>
      </c>
      <c r="G50" s="36" t="s">
        <v>60</v>
      </c>
      <c r="H50" s="39">
        <v>387.7</v>
      </c>
      <c r="I50" s="40">
        <v>40000</v>
      </c>
      <c r="J50" s="41">
        <f t="shared" si="1"/>
        <v>15508000</v>
      </c>
      <c r="K50" s="313">
        <f>SUM(J50:J52)</f>
        <v>18184000</v>
      </c>
      <c r="L50" s="45"/>
      <c r="M50" s="67"/>
      <c r="N50" s="67"/>
      <c r="O50" s="67"/>
    </row>
    <row r="51" spans="1:15" s="68" customFormat="1" ht="45" customHeight="1">
      <c r="A51" s="308"/>
      <c r="B51" s="33" t="s">
        <v>104</v>
      </c>
      <c r="C51" s="34">
        <v>75</v>
      </c>
      <c r="D51" s="34">
        <v>28</v>
      </c>
      <c r="E51" s="35">
        <v>408.7</v>
      </c>
      <c r="F51" s="34" t="s">
        <v>45</v>
      </c>
      <c r="G51" s="36" t="s">
        <v>60</v>
      </c>
      <c r="H51" s="39">
        <v>44.100000000000009</v>
      </c>
      <c r="I51" s="40">
        <v>40000</v>
      </c>
      <c r="J51" s="41">
        <f t="shared" si="1"/>
        <v>1764000.0000000002</v>
      </c>
      <c r="K51" s="314"/>
      <c r="L51" s="45"/>
      <c r="M51" s="67"/>
      <c r="N51" s="67"/>
      <c r="O51" s="67"/>
    </row>
    <row r="52" spans="1:15" s="68" customFormat="1" ht="45" customHeight="1">
      <c r="A52" s="309"/>
      <c r="B52" s="33" t="s">
        <v>104</v>
      </c>
      <c r="C52" s="34">
        <v>93</v>
      </c>
      <c r="D52" s="34">
        <v>28</v>
      </c>
      <c r="E52" s="35">
        <v>424</v>
      </c>
      <c r="F52" s="34" t="s">
        <v>45</v>
      </c>
      <c r="G52" s="36" t="s">
        <v>60</v>
      </c>
      <c r="H52" s="39">
        <v>22.8</v>
      </c>
      <c r="I52" s="40">
        <v>40000</v>
      </c>
      <c r="J52" s="41">
        <f t="shared" si="1"/>
        <v>912000</v>
      </c>
      <c r="K52" s="315"/>
      <c r="L52" s="45"/>
      <c r="M52" s="67"/>
      <c r="N52" s="67"/>
      <c r="O52" s="67"/>
    </row>
    <row r="53" spans="1:15" s="68" customFormat="1" ht="45" customHeight="1">
      <c r="A53" s="307">
        <v>17</v>
      </c>
      <c r="B53" s="33" t="s">
        <v>105</v>
      </c>
      <c r="C53" s="34" t="s">
        <v>106</v>
      </c>
      <c r="D53" s="34">
        <v>28</v>
      </c>
      <c r="E53" s="35">
        <v>474.5</v>
      </c>
      <c r="F53" s="34" t="s">
        <v>45</v>
      </c>
      <c r="G53" s="36" t="s">
        <v>60</v>
      </c>
      <c r="H53" s="39">
        <v>474.5</v>
      </c>
      <c r="I53" s="40">
        <v>40000</v>
      </c>
      <c r="J53" s="41">
        <f t="shared" si="1"/>
        <v>18980000</v>
      </c>
      <c r="K53" s="313">
        <f>SUM(J53:J55)</f>
        <v>30076000</v>
      </c>
      <c r="L53" s="45"/>
      <c r="M53" s="67"/>
      <c r="N53" s="67"/>
      <c r="O53" s="67"/>
    </row>
    <row r="54" spans="1:15" s="68" customFormat="1" ht="45" customHeight="1">
      <c r="A54" s="308"/>
      <c r="B54" s="33" t="s">
        <v>105</v>
      </c>
      <c r="C54" s="34" t="s">
        <v>108</v>
      </c>
      <c r="D54" s="34">
        <v>28</v>
      </c>
      <c r="E54" s="35">
        <v>289.10000000000002</v>
      </c>
      <c r="F54" s="34" t="s">
        <v>49</v>
      </c>
      <c r="G54" s="36" t="s">
        <v>109</v>
      </c>
      <c r="H54" s="39">
        <v>41</v>
      </c>
      <c r="I54" s="40">
        <v>40000</v>
      </c>
      <c r="J54" s="41">
        <f t="shared" si="1"/>
        <v>1640000</v>
      </c>
      <c r="K54" s="314"/>
      <c r="L54" s="45"/>
      <c r="M54" s="67"/>
      <c r="N54" s="67"/>
      <c r="O54" s="67"/>
    </row>
    <row r="55" spans="1:15" s="68" customFormat="1" ht="45" customHeight="1">
      <c r="A55" s="308"/>
      <c r="B55" s="33" t="s">
        <v>105</v>
      </c>
      <c r="C55" s="34" t="s">
        <v>110</v>
      </c>
      <c r="D55" s="34">
        <v>28</v>
      </c>
      <c r="E55" s="35">
        <v>236.4</v>
      </c>
      <c r="F55" s="34" t="s">
        <v>49</v>
      </c>
      <c r="G55" s="36" t="s">
        <v>111</v>
      </c>
      <c r="H55" s="39">
        <v>236.4</v>
      </c>
      <c r="I55" s="40">
        <v>40000</v>
      </c>
      <c r="J55" s="41">
        <f t="shared" si="1"/>
        <v>9456000</v>
      </c>
      <c r="K55" s="314"/>
      <c r="L55" s="45"/>
      <c r="M55" s="67"/>
      <c r="N55" s="67"/>
      <c r="O55" s="67"/>
    </row>
    <row r="56" spans="1:15" s="68" customFormat="1" ht="45" customHeight="1">
      <c r="A56" s="307">
        <v>18</v>
      </c>
      <c r="B56" s="33" t="s">
        <v>114</v>
      </c>
      <c r="C56" s="34">
        <v>393</v>
      </c>
      <c r="D56" s="34">
        <v>28</v>
      </c>
      <c r="E56" s="35" t="s">
        <v>115</v>
      </c>
      <c r="F56" s="34" t="s">
        <v>49</v>
      </c>
      <c r="G56" s="36" t="s">
        <v>57</v>
      </c>
      <c r="H56" s="39">
        <v>53.3</v>
      </c>
      <c r="I56" s="40">
        <v>40000</v>
      </c>
      <c r="J56" s="41">
        <f t="shared" si="1"/>
        <v>2132000</v>
      </c>
      <c r="K56" s="313">
        <f>SUM(J56:J57)</f>
        <v>5384000</v>
      </c>
      <c r="L56" s="45"/>
      <c r="M56" s="67"/>
      <c r="N56" s="67"/>
      <c r="O56" s="67"/>
    </row>
    <row r="57" spans="1:15" s="68" customFormat="1" ht="45" customHeight="1">
      <c r="A57" s="309"/>
      <c r="B57" s="33" t="s">
        <v>116</v>
      </c>
      <c r="C57" s="34">
        <v>212</v>
      </c>
      <c r="D57" s="34">
        <v>21</v>
      </c>
      <c r="E57" s="35" t="s">
        <v>117</v>
      </c>
      <c r="F57" s="34" t="s">
        <v>45</v>
      </c>
      <c r="G57" s="36" t="s">
        <v>54</v>
      </c>
      <c r="H57" s="39">
        <v>81.3</v>
      </c>
      <c r="I57" s="40">
        <v>40000</v>
      </c>
      <c r="J57" s="41">
        <f t="shared" si="1"/>
        <v>3252000</v>
      </c>
      <c r="K57" s="315"/>
      <c r="L57" s="45" t="s">
        <v>118</v>
      </c>
      <c r="M57" s="67"/>
      <c r="N57" s="67"/>
      <c r="O57" s="67"/>
    </row>
    <row r="58" spans="1:15" s="47" customFormat="1" ht="45" customHeight="1">
      <c r="A58" s="307">
        <v>19</v>
      </c>
      <c r="B58" s="33" t="s">
        <v>119</v>
      </c>
      <c r="C58" s="34" t="s">
        <v>120</v>
      </c>
      <c r="D58" s="34" t="s">
        <v>96</v>
      </c>
      <c r="E58" s="35">
        <v>190.2</v>
      </c>
      <c r="F58" s="34" t="s">
        <v>45</v>
      </c>
      <c r="G58" s="36" t="s">
        <v>54</v>
      </c>
      <c r="H58" s="39">
        <v>190.2</v>
      </c>
      <c r="I58" s="40">
        <v>40000</v>
      </c>
      <c r="J58" s="41">
        <f t="shared" si="1"/>
        <v>7608000</v>
      </c>
      <c r="K58" s="313">
        <f>SUM(J58:J60)</f>
        <v>15560000</v>
      </c>
      <c r="L58" s="45"/>
      <c r="M58" s="46"/>
      <c r="N58" s="46"/>
      <c r="O58" s="46"/>
    </row>
    <row r="59" spans="1:15" s="47" customFormat="1" ht="45" customHeight="1">
      <c r="A59" s="308"/>
      <c r="B59" s="33" t="s">
        <v>119</v>
      </c>
      <c r="C59" s="34" t="s">
        <v>121</v>
      </c>
      <c r="D59" s="34" t="s">
        <v>99</v>
      </c>
      <c r="E59" s="35">
        <v>130.19999999999999</v>
      </c>
      <c r="F59" s="34" t="s">
        <v>49</v>
      </c>
      <c r="G59" s="36" t="s">
        <v>50</v>
      </c>
      <c r="H59" s="39">
        <v>130.19999999999999</v>
      </c>
      <c r="I59" s="40">
        <v>40000</v>
      </c>
      <c r="J59" s="41">
        <f t="shared" si="1"/>
        <v>5208000</v>
      </c>
      <c r="K59" s="314"/>
      <c r="L59" s="45"/>
      <c r="M59" s="46"/>
      <c r="N59" s="46"/>
      <c r="O59" s="46"/>
    </row>
    <row r="60" spans="1:15" s="47" customFormat="1" ht="45" customHeight="1">
      <c r="A60" s="309"/>
      <c r="B60" s="33" t="s">
        <v>119</v>
      </c>
      <c r="C60" s="34" t="s">
        <v>122</v>
      </c>
      <c r="D60" s="34" t="s">
        <v>99</v>
      </c>
      <c r="E60" s="35">
        <v>68.599999999999994</v>
      </c>
      <c r="F60" s="34" t="s">
        <v>49</v>
      </c>
      <c r="G60" s="36" t="s">
        <v>57</v>
      </c>
      <c r="H60" s="39">
        <v>68.599999999999994</v>
      </c>
      <c r="I60" s="40">
        <v>40000</v>
      </c>
      <c r="J60" s="41">
        <f t="shared" si="1"/>
        <v>2744000</v>
      </c>
      <c r="K60" s="315"/>
      <c r="L60" s="45"/>
      <c r="M60" s="46"/>
      <c r="N60" s="46"/>
      <c r="O60" s="46"/>
    </row>
    <row r="61" spans="1:15" s="47" customFormat="1" ht="45" customHeight="1">
      <c r="A61" s="307">
        <v>20</v>
      </c>
      <c r="B61" s="33" t="s">
        <v>124</v>
      </c>
      <c r="C61" s="34" t="s">
        <v>125</v>
      </c>
      <c r="D61" s="34">
        <v>28</v>
      </c>
      <c r="E61" s="35">
        <v>540</v>
      </c>
      <c r="F61" s="34" t="s">
        <v>45</v>
      </c>
      <c r="G61" s="36" t="s">
        <v>60</v>
      </c>
      <c r="H61" s="39">
        <v>540</v>
      </c>
      <c r="I61" s="40">
        <v>40000</v>
      </c>
      <c r="J61" s="41">
        <f t="shared" si="1"/>
        <v>21600000</v>
      </c>
      <c r="K61" s="313">
        <f>SUM(J61:J62)</f>
        <v>25476000</v>
      </c>
      <c r="L61" s="45"/>
      <c r="M61" s="46"/>
      <c r="N61" s="46"/>
      <c r="O61" s="46"/>
    </row>
    <row r="62" spans="1:15" s="47" customFormat="1" ht="45" customHeight="1">
      <c r="A62" s="309"/>
      <c r="B62" s="33" t="s">
        <v>124</v>
      </c>
      <c r="C62" s="34" t="s">
        <v>126</v>
      </c>
      <c r="D62" s="34">
        <v>28</v>
      </c>
      <c r="E62" s="35">
        <v>96.9</v>
      </c>
      <c r="F62" s="34" t="s">
        <v>49</v>
      </c>
      <c r="G62" s="36" t="s">
        <v>50</v>
      </c>
      <c r="H62" s="39">
        <v>96.9</v>
      </c>
      <c r="I62" s="40">
        <v>40000</v>
      </c>
      <c r="J62" s="41">
        <f t="shared" si="1"/>
        <v>3876000</v>
      </c>
      <c r="K62" s="315"/>
      <c r="L62" s="45"/>
      <c r="M62" s="46"/>
      <c r="N62" s="46"/>
      <c r="O62" s="46"/>
    </row>
    <row r="63" spans="1:15" s="68" customFormat="1" ht="45" customHeight="1">
      <c r="A63" s="307">
        <v>21</v>
      </c>
      <c r="B63" s="33" t="s">
        <v>127</v>
      </c>
      <c r="C63" s="48" t="s">
        <v>128</v>
      </c>
      <c r="D63" s="34">
        <v>21</v>
      </c>
      <c r="E63" s="35">
        <v>419.2</v>
      </c>
      <c r="F63" s="34" t="s">
        <v>45</v>
      </c>
      <c r="G63" s="36" t="s">
        <v>54</v>
      </c>
      <c r="H63" s="39">
        <v>419.2</v>
      </c>
      <c r="I63" s="40">
        <v>40000</v>
      </c>
      <c r="J63" s="41">
        <f t="shared" si="1"/>
        <v>16768000</v>
      </c>
      <c r="K63" s="313">
        <f>SUM(J63:J69)</f>
        <v>92304000</v>
      </c>
      <c r="L63" s="45"/>
      <c r="M63" s="67"/>
      <c r="N63" s="67"/>
      <c r="O63" s="67"/>
    </row>
    <row r="64" spans="1:15" s="68" customFormat="1" ht="45" customHeight="1">
      <c r="A64" s="308"/>
      <c r="B64" s="33" t="s">
        <v>127</v>
      </c>
      <c r="C64" s="34">
        <v>230</v>
      </c>
      <c r="D64" s="34">
        <v>21</v>
      </c>
      <c r="E64" s="35">
        <v>395.3</v>
      </c>
      <c r="F64" s="34" t="s">
        <v>45</v>
      </c>
      <c r="G64" s="36" t="s">
        <v>54</v>
      </c>
      <c r="H64" s="39">
        <v>395.3</v>
      </c>
      <c r="I64" s="40">
        <v>40000</v>
      </c>
      <c r="J64" s="41">
        <f t="shared" si="1"/>
        <v>15812000</v>
      </c>
      <c r="K64" s="314"/>
      <c r="L64" s="45"/>
      <c r="M64" s="67"/>
      <c r="N64" s="67"/>
      <c r="O64" s="67"/>
    </row>
    <row r="65" spans="1:15" s="68" customFormat="1" ht="45" customHeight="1">
      <c r="A65" s="308"/>
      <c r="B65" s="33" t="s">
        <v>127</v>
      </c>
      <c r="C65" s="34">
        <v>266</v>
      </c>
      <c r="D65" s="34">
        <v>21</v>
      </c>
      <c r="E65" s="35">
        <v>445.8</v>
      </c>
      <c r="F65" s="34" t="s">
        <v>45</v>
      </c>
      <c r="G65" s="36" t="s">
        <v>54</v>
      </c>
      <c r="H65" s="39">
        <v>445.8</v>
      </c>
      <c r="I65" s="40">
        <v>40000</v>
      </c>
      <c r="J65" s="41">
        <f t="shared" si="1"/>
        <v>17832000</v>
      </c>
      <c r="K65" s="314"/>
      <c r="L65" s="45"/>
      <c r="M65" s="67"/>
      <c r="N65" s="67"/>
      <c r="O65" s="67"/>
    </row>
    <row r="66" spans="1:15" s="68" customFormat="1" ht="45" customHeight="1">
      <c r="A66" s="308"/>
      <c r="B66" s="33" t="s">
        <v>127</v>
      </c>
      <c r="C66" s="34">
        <v>72</v>
      </c>
      <c r="D66" s="34">
        <v>28</v>
      </c>
      <c r="E66" s="35" t="s">
        <v>129</v>
      </c>
      <c r="F66" s="34" t="s">
        <v>45</v>
      </c>
      <c r="G66" s="36" t="s">
        <v>60</v>
      </c>
      <c r="H66" s="39">
        <v>427.9</v>
      </c>
      <c r="I66" s="40">
        <v>40000</v>
      </c>
      <c r="J66" s="41">
        <f t="shared" si="1"/>
        <v>17116000</v>
      </c>
      <c r="K66" s="314"/>
      <c r="L66" s="45"/>
      <c r="M66" s="67"/>
      <c r="N66" s="67"/>
      <c r="O66" s="67"/>
    </row>
    <row r="67" spans="1:15" s="68" customFormat="1" ht="45" customHeight="1">
      <c r="A67" s="308"/>
      <c r="B67" s="33" t="s">
        <v>127</v>
      </c>
      <c r="C67" s="34">
        <v>524</v>
      </c>
      <c r="D67" s="34">
        <v>28</v>
      </c>
      <c r="E67" s="35" t="s">
        <v>131</v>
      </c>
      <c r="F67" s="34" t="s">
        <v>49</v>
      </c>
      <c r="G67" s="36" t="s">
        <v>57</v>
      </c>
      <c r="H67" s="39">
        <v>314.5</v>
      </c>
      <c r="I67" s="40">
        <v>40000</v>
      </c>
      <c r="J67" s="41">
        <f t="shared" si="1"/>
        <v>12580000</v>
      </c>
      <c r="K67" s="175"/>
      <c r="L67" s="45"/>
      <c r="M67" s="67"/>
      <c r="N67" s="67"/>
      <c r="O67" s="67"/>
    </row>
    <row r="68" spans="1:15" s="68" customFormat="1" ht="45" customHeight="1">
      <c r="A68" s="308"/>
      <c r="B68" s="33" t="s">
        <v>127</v>
      </c>
      <c r="C68" s="34">
        <v>117</v>
      </c>
      <c r="D68" s="34">
        <v>28</v>
      </c>
      <c r="E68" s="35" t="s">
        <v>132</v>
      </c>
      <c r="F68" s="34" t="s">
        <v>55</v>
      </c>
      <c r="G68" s="36" t="s">
        <v>56</v>
      </c>
      <c r="H68" s="39">
        <v>234.5</v>
      </c>
      <c r="I68" s="40">
        <v>40000</v>
      </c>
      <c r="J68" s="41">
        <f t="shared" si="1"/>
        <v>9380000</v>
      </c>
      <c r="K68" s="175"/>
      <c r="L68" s="45"/>
      <c r="M68" s="67"/>
      <c r="N68" s="67"/>
      <c r="O68" s="67"/>
    </row>
    <row r="69" spans="1:15" s="68" customFormat="1" ht="45" customHeight="1">
      <c r="A69" s="309"/>
      <c r="B69" s="33" t="s">
        <v>127</v>
      </c>
      <c r="C69" s="34">
        <v>223</v>
      </c>
      <c r="D69" s="34">
        <v>28</v>
      </c>
      <c r="E69" s="35" t="s">
        <v>134</v>
      </c>
      <c r="F69" s="34" t="s">
        <v>55</v>
      </c>
      <c r="G69" s="36" t="s">
        <v>50</v>
      </c>
      <c r="H69" s="39">
        <v>70.400000000000006</v>
      </c>
      <c r="I69" s="40">
        <v>40000</v>
      </c>
      <c r="J69" s="41">
        <f t="shared" si="1"/>
        <v>2816000</v>
      </c>
      <c r="K69" s="176"/>
      <c r="L69" s="45"/>
      <c r="M69" s="67"/>
      <c r="N69" s="67"/>
      <c r="O69" s="67"/>
    </row>
    <row r="70" spans="1:15" s="47" customFormat="1" ht="45" customHeight="1">
      <c r="A70" s="151">
        <v>22</v>
      </c>
      <c r="B70" s="33" t="s">
        <v>135</v>
      </c>
      <c r="C70" s="34" t="s">
        <v>136</v>
      </c>
      <c r="D70" s="34" t="s">
        <v>99</v>
      </c>
      <c r="E70" s="35">
        <v>328.7</v>
      </c>
      <c r="F70" s="34" t="s">
        <v>55</v>
      </c>
      <c r="G70" s="69" t="s">
        <v>137</v>
      </c>
      <c r="H70" s="39">
        <v>328.7</v>
      </c>
      <c r="I70" s="40">
        <v>40000</v>
      </c>
      <c r="J70" s="41">
        <f t="shared" si="1"/>
        <v>13148000</v>
      </c>
      <c r="K70" s="54">
        <f>SUM(J70:J70)</f>
        <v>13148000</v>
      </c>
      <c r="L70" s="45"/>
      <c r="M70" s="46"/>
      <c r="N70" s="46"/>
      <c r="O70" s="46"/>
    </row>
    <row r="71" spans="1:15" s="68" customFormat="1" ht="45" customHeight="1">
      <c r="A71" s="32">
        <v>23</v>
      </c>
      <c r="B71" s="33" t="s">
        <v>140</v>
      </c>
      <c r="C71" s="34" t="s">
        <v>141</v>
      </c>
      <c r="D71" s="34" t="s">
        <v>99</v>
      </c>
      <c r="E71" s="35">
        <v>279.8</v>
      </c>
      <c r="F71" s="34" t="s">
        <v>55</v>
      </c>
      <c r="G71" s="36" t="s">
        <v>60</v>
      </c>
      <c r="H71" s="39">
        <v>163.80000000000001</v>
      </c>
      <c r="I71" s="40">
        <v>40000</v>
      </c>
      <c r="J71" s="41">
        <f t="shared" si="1"/>
        <v>6552000</v>
      </c>
      <c r="K71" s="64">
        <f t="shared" ref="K71:K73" si="3">J71</f>
        <v>6552000</v>
      </c>
      <c r="L71" s="45"/>
      <c r="M71" s="67"/>
      <c r="N71" s="67"/>
      <c r="O71" s="67"/>
    </row>
    <row r="72" spans="1:15" s="47" customFormat="1" ht="45" customHeight="1">
      <c r="A72" s="32">
        <v>24</v>
      </c>
      <c r="B72" s="33" t="s">
        <v>142</v>
      </c>
      <c r="C72" s="34" t="s">
        <v>141</v>
      </c>
      <c r="D72" s="34" t="s">
        <v>99</v>
      </c>
      <c r="E72" s="35">
        <v>279.8</v>
      </c>
      <c r="F72" s="34" t="s">
        <v>55</v>
      </c>
      <c r="G72" s="36" t="s">
        <v>60</v>
      </c>
      <c r="H72" s="39">
        <v>116</v>
      </c>
      <c r="I72" s="40">
        <v>40000</v>
      </c>
      <c r="J72" s="41">
        <f t="shared" si="1"/>
        <v>4640000</v>
      </c>
      <c r="K72" s="64">
        <f t="shared" si="3"/>
        <v>4640000</v>
      </c>
      <c r="L72" s="45"/>
      <c r="M72" s="46"/>
      <c r="N72" s="46"/>
      <c r="O72" s="46"/>
    </row>
    <row r="73" spans="1:15" s="47" customFormat="1" ht="45" customHeight="1">
      <c r="A73" s="32">
        <f t="shared" ref="A73:A76" si="4">IF(B73=B72,A72,A72+1)</f>
        <v>25</v>
      </c>
      <c r="B73" s="33" t="s">
        <v>143</v>
      </c>
      <c r="C73" s="34" t="s">
        <v>144</v>
      </c>
      <c r="D73" s="34" t="s">
        <v>99</v>
      </c>
      <c r="E73" s="35">
        <v>418.9</v>
      </c>
      <c r="F73" s="34" t="s">
        <v>45</v>
      </c>
      <c r="G73" s="36" t="s">
        <v>60</v>
      </c>
      <c r="H73" s="39">
        <v>418.9</v>
      </c>
      <c r="I73" s="40">
        <v>40000</v>
      </c>
      <c r="J73" s="41">
        <f t="shared" si="1"/>
        <v>16756000</v>
      </c>
      <c r="K73" s="64">
        <f t="shared" si="3"/>
        <v>16756000</v>
      </c>
      <c r="L73" s="45"/>
      <c r="M73" s="46"/>
      <c r="N73" s="46"/>
      <c r="O73" s="46"/>
    </row>
    <row r="74" spans="1:15" s="47" customFormat="1" ht="45" customHeight="1">
      <c r="A74" s="32">
        <f t="shared" si="4"/>
        <v>26</v>
      </c>
      <c r="B74" s="33" t="s">
        <v>145</v>
      </c>
      <c r="C74" s="34" t="s">
        <v>146</v>
      </c>
      <c r="D74" s="34" t="s">
        <v>99</v>
      </c>
      <c r="E74" s="35">
        <v>178.5</v>
      </c>
      <c r="F74" s="34" t="s">
        <v>55</v>
      </c>
      <c r="G74" s="36" t="s">
        <v>60</v>
      </c>
      <c r="H74" s="39">
        <v>178.5</v>
      </c>
      <c r="I74" s="40">
        <v>40000</v>
      </c>
      <c r="J74" s="41">
        <f t="shared" si="1"/>
        <v>7140000</v>
      </c>
      <c r="K74" s="313">
        <f>SUM(J74:J75)</f>
        <v>16348000</v>
      </c>
      <c r="L74" s="45"/>
      <c r="M74" s="46"/>
      <c r="N74" s="46"/>
      <c r="O74" s="46"/>
    </row>
    <row r="75" spans="1:15" s="47" customFormat="1" ht="56.25" customHeight="1">
      <c r="A75" s="32">
        <f t="shared" si="4"/>
        <v>27</v>
      </c>
      <c r="B75" s="33" t="s">
        <v>147</v>
      </c>
      <c r="C75" s="34" t="s">
        <v>148</v>
      </c>
      <c r="D75" s="34" t="s">
        <v>99</v>
      </c>
      <c r="E75" s="35">
        <v>230.2</v>
      </c>
      <c r="F75" s="34" t="s">
        <v>55</v>
      </c>
      <c r="G75" s="36" t="s">
        <v>60</v>
      </c>
      <c r="H75" s="39">
        <v>230.2</v>
      </c>
      <c r="I75" s="40">
        <v>40000</v>
      </c>
      <c r="J75" s="41">
        <f t="shared" si="1"/>
        <v>9208000</v>
      </c>
      <c r="K75" s="315"/>
      <c r="L75" s="45"/>
      <c r="M75" s="46"/>
      <c r="N75" s="46"/>
      <c r="O75" s="46"/>
    </row>
    <row r="76" spans="1:15" s="47" customFormat="1" ht="49.5" customHeight="1">
      <c r="A76" s="32">
        <f t="shared" si="4"/>
        <v>28</v>
      </c>
      <c r="B76" s="33" t="s">
        <v>149</v>
      </c>
      <c r="C76" s="70" t="s">
        <v>150</v>
      </c>
      <c r="D76" s="48" t="s">
        <v>96</v>
      </c>
      <c r="E76" s="71">
        <v>194.9</v>
      </c>
      <c r="F76" s="34" t="s">
        <v>45</v>
      </c>
      <c r="G76" s="36" t="s">
        <v>54</v>
      </c>
      <c r="H76" s="39">
        <v>194.9</v>
      </c>
      <c r="I76" s="40">
        <v>40000</v>
      </c>
      <c r="J76" s="41">
        <f t="shared" ref="J76:J139" si="5">H76*I76</f>
        <v>7796000</v>
      </c>
      <c r="K76" s="54">
        <f>SUM(J76:J76)</f>
        <v>7796000</v>
      </c>
      <c r="L76" s="45"/>
      <c r="M76" s="46"/>
      <c r="N76" s="46"/>
      <c r="O76" s="46"/>
    </row>
    <row r="77" spans="1:15" s="47" customFormat="1" ht="49.5" customHeight="1">
      <c r="A77" s="307">
        <v>29</v>
      </c>
      <c r="B77" s="33" t="s">
        <v>151</v>
      </c>
      <c r="C77" s="34" t="s">
        <v>152</v>
      </c>
      <c r="D77" s="34" t="s">
        <v>99</v>
      </c>
      <c r="E77" s="35">
        <v>376.8</v>
      </c>
      <c r="F77" s="34" t="s">
        <v>49</v>
      </c>
      <c r="G77" s="36" t="s">
        <v>57</v>
      </c>
      <c r="H77" s="39">
        <v>78.3</v>
      </c>
      <c r="I77" s="40">
        <v>40000</v>
      </c>
      <c r="J77" s="41">
        <f t="shared" si="5"/>
        <v>3132000</v>
      </c>
      <c r="K77" s="313">
        <f>SUM(J77:J78)</f>
        <v>14736000</v>
      </c>
      <c r="L77" s="45"/>
      <c r="M77" s="46"/>
      <c r="N77" s="46"/>
      <c r="O77" s="46"/>
    </row>
    <row r="78" spans="1:15" s="47" customFormat="1" ht="49.5" customHeight="1">
      <c r="A78" s="309"/>
      <c r="B78" s="33" t="s">
        <v>151</v>
      </c>
      <c r="C78" s="34" t="s">
        <v>153</v>
      </c>
      <c r="D78" s="34" t="s">
        <v>99</v>
      </c>
      <c r="E78" s="35">
        <v>290.10000000000002</v>
      </c>
      <c r="F78" s="34" t="s">
        <v>45</v>
      </c>
      <c r="G78" s="36" t="s">
        <v>54</v>
      </c>
      <c r="H78" s="39">
        <v>290.10000000000002</v>
      </c>
      <c r="I78" s="40">
        <v>40000</v>
      </c>
      <c r="J78" s="41">
        <f t="shared" si="5"/>
        <v>11604000</v>
      </c>
      <c r="K78" s="315"/>
      <c r="L78" s="45" t="s">
        <v>154</v>
      </c>
      <c r="M78" s="46"/>
      <c r="N78" s="46"/>
      <c r="O78" s="46"/>
    </row>
    <row r="79" spans="1:15" s="68" customFormat="1" ht="45.75" customHeight="1">
      <c r="A79" s="307">
        <v>30</v>
      </c>
      <c r="B79" s="33" t="s">
        <v>155</v>
      </c>
      <c r="C79" s="34" t="s">
        <v>156</v>
      </c>
      <c r="D79" s="34" t="s">
        <v>99</v>
      </c>
      <c r="E79" s="35">
        <v>95.5</v>
      </c>
      <c r="F79" s="34" t="s">
        <v>49</v>
      </c>
      <c r="G79" s="36" t="s">
        <v>50</v>
      </c>
      <c r="H79" s="39">
        <v>95.5</v>
      </c>
      <c r="I79" s="40">
        <v>40000</v>
      </c>
      <c r="J79" s="41">
        <f t="shared" si="5"/>
        <v>3820000</v>
      </c>
      <c r="K79" s="313">
        <f>SUM(J79:J81)</f>
        <v>12260000</v>
      </c>
      <c r="L79" s="45"/>
      <c r="M79" s="67"/>
      <c r="N79" s="67"/>
      <c r="O79" s="67"/>
    </row>
    <row r="80" spans="1:15" s="68" customFormat="1" ht="45.75" customHeight="1">
      <c r="A80" s="308"/>
      <c r="B80" s="33" t="s">
        <v>155</v>
      </c>
      <c r="C80" s="34" t="s">
        <v>158</v>
      </c>
      <c r="D80" s="34" t="s">
        <v>159</v>
      </c>
      <c r="E80" s="35">
        <v>202.5</v>
      </c>
      <c r="F80" s="34" t="s">
        <v>49</v>
      </c>
      <c r="G80" s="36" t="s">
        <v>50</v>
      </c>
      <c r="H80" s="39">
        <v>79.8</v>
      </c>
      <c r="I80" s="40">
        <v>40000</v>
      </c>
      <c r="J80" s="41">
        <f t="shared" si="5"/>
        <v>3192000</v>
      </c>
      <c r="K80" s="314"/>
      <c r="L80" s="45"/>
      <c r="M80" s="67"/>
      <c r="N80" s="67"/>
      <c r="O80" s="67"/>
    </row>
    <row r="81" spans="1:15" s="68" customFormat="1" ht="45.75" customHeight="1">
      <c r="A81" s="308"/>
      <c r="B81" s="33" t="s">
        <v>155</v>
      </c>
      <c r="C81" s="34" t="s">
        <v>160</v>
      </c>
      <c r="D81" s="34" t="s">
        <v>99</v>
      </c>
      <c r="E81" s="35">
        <v>131.19999999999999</v>
      </c>
      <c r="F81" s="34" t="s">
        <v>49</v>
      </c>
      <c r="G81" s="36" t="s">
        <v>50</v>
      </c>
      <c r="H81" s="39">
        <v>131.19999999999999</v>
      </c>
      <c r="I81" s="40">
        <v>40000</v>
      </c>
      <c r="J81" s="41">
        <f t="shared" si="5"/>
        <v>5248000</v>
      </c>
      <c r="K81" s="314"/>
      <c r="L81" s="45"/>
      <c r="M81" s="67"/>
      <c r="N81" s="67"/>
      <c r="O81" s="67"/>
    </row>
    <row r="82" spans="1:15" s="68" customFormat="1" ht="45.75" customHeight="1">
      <c r="A82" s="307">
        <v>31</v>
      </c>
      <c r="B82" s="33" t="s">
        <v>161</v>
      </c>
      <c r="C82" s="79" t="s">
        <v>162</v>
      </c>
      <c r="D82" s="79" t="s">
        <v>99</v>
      </c>
      <c r="E82" s="80">
        <v>1196.8</v>
      </c>
      <c r="F82" s="79" t="s">
        <v>45</v>
      </c>
      <c r="G82" s="72" t="s">
        <v>163</v>
      </c>
      <c r="H82" s="39">
        <v>956.8</v>
      </c>
      <c r="I82" s="40">
        <v>40000</v>
      </c>
      <c r="J82" s="41">
        <f t="shared" si="5"/>
        <v>38272000</v>
      </c>
      <c r="K82" s="313">
        <f>SUM(J82:J84)</f>
        <v>69696000</v>
      </c>
      <c r="L82" s="45"/>
      <c r="M82" s="67"/>
      <c r="N82" s="67"/>
      <c r="O82" s="67"/>
    </row>
    <row r="83" spans="1:15" s="68" customFormat="1" ht="45.75" customHeight="1">
      <c r="A83" s="308"/>
      <c r="B83" s="33" t="s">
        <v>161</v>
      </c>
      <c r="C83" s="34" t="s">
        <v>165</v>
      </c>
      <c r="D83" s="34" t="s">
        <v>99</v>
      </c>
      <c r="E83" s="35">
        <v>555.9</v>
      </c>
      <c r="F83" s="34" t="s">
        <v>45</v>
      </c>
      <c r="G83" s="36" t="s">
        <v>60</v>
      </c>
      <c r="H83" s="39">
        <v>555.9</v>
      </c>
      <c r="I83" s="40">
        <v>40000</v>
      </c>
      <c r="J83" s="41">
        <f t="shared" si="5"/>
        <v>22236000</v>
      </c>
      <c r="K83" s="314"/>
      <c r="L83" s="45"/>
      <c r="M83" s="67"/>
      <c r="N83" s="67"/>
      <c r="O83" s="67"/>
    </row>
    <row r="84" spans="1:15" s="68" customFormat="1" ht="45.75" customHeight="1">
      <c r="A84" s="309"/>
      <c r="B84" s="33" t="s">
        <v>161</v>
      </c>
      <c r="C84" s="34" t="s">
        <v>166</v>
      </c>
      <c r="D84" s="34" t="s">
        <v>99</v>
      </c>
      <c r="E84" s="35">
        <v>229.7</v>
      </c>
      <c r="F84" s="34" t="s">
        <v>49</v>
      </c>
      <c r="G84" s="36" t="s">
        <v>50</v>
      </c>
      <c r="H84" s="39">
        <v>229.7</v>
      </c>
      <c r="I84" s="40">
        <v>40000</v>
      </c>
      <c r="J84" s="41">
        <f t="shared" si="5"/>
        <v>9188000</v>
      </c>
      <c r="K84" s="315"/>
      <c r="L84" s="45"/>
      <c r="M84" s="67"/>
      <c r="N84" s="67"/>
      <c r="O84" s="67"/>
    </row>
    <row r="85" spans="1:15" s="68" customFormat="1" ht="63" customHeight="1">
      <c r="A85" s="151">
        <v>32</v>
      </c>
      <c r="B85" s="33" t="s">
        <v>167</v>
      </c>
      <c r="C85" s="79" t="s">
        <v>162</v>
      </c>
      <c r="D85" s="79" t="s">
        <v>99</v>
      </c>
      <c r="E85" s="80">
        <v>1196.8</v>
      </c>
      <c r="F85" s="79" t="s">
        <v>45</v>
      </c>
      <c r="G85" s="72" t="s">
        <v>163</v>
      </c>
      <c r="H85" s="39">
        <v>240</v>
      </c>
      <c r="I85" s="40">
        <v>40000</v>
      </c>
      <c r="J85" s="41">
        <f t="shared" si="5"/>
        <v>9600000</v>
      </c>
      <c r="K85" s="54">
        <f>J85</f>
        <v>9600000</v>
      </c>
      <c r="L85" s="45"/>
      <c r="M85" s="67"/>
      <c r="N85" s="67"/>
      <c r="O85" s="67"/>
    </row>
    <row r="86" spans="1:15" s="47" customFormat="1" ht="48.75" customHeight="1">
      <c r="A86" s="307">
        <v>33</v>
      </c>
      <c r="B86" s="33" t="s">
        <v>171</v>
      </c>
      <c r="C86" s="34" t="s">
        <v>172</v>
      </c>
      <c r="D86" s="34" t="s">
        <v>99</v>
      </c>
      <c r="E86" s="35">
        <v>160.1</v>
      </c>
      <c r="F86" s="34" t="s">
        <v>45</v>
      </c>
      <c r="G86" s="36" t="s">
        <v>57</v>
      </c>
      <c r="H86" s="39">
        <v>160.1</v>
      </c>
      <c r="I86" s="40">
        <v>40000</v>
      </c>
      <c r="J86" s="41">
        <f t="shared" si="5"/>
        <v>6404000</v>
      </c>
      <c r="K86" s="313">
        <f>SUM(J86:J88)</f>
        <v>19452000</v>
      </c>
      <c r="L86" s="45"/>
      <c r="M86" s="46"/>
      <c r="N86" s="46"/>
      <c r="O86" s="46"/>
    </row>
    <row r="87" spans="1:15" s="47" customFormat="1" ht="48.75" customHeight="1">
      <c r="A87" s="308"/>
      <c r="B87" s="33" t="s">
        <v>171</v>
      </c>
      <c r="C87" s="34">
        <v>381</v>
      </c>
      <c r="D87" s="34">
        <v>28</v>
      </c>
      <c r="E87" s="35">
        <v>192.9</v>
      </c>
      <c r="F87" s="34" t="s">
        <v>49</v>
      </c>
      <c r="G87" s="36" t="s">
        <v>57</v>
      </c>
      <c r="H87" s="39">
        <v>192.9</v>
      </c>
      <c r="I87" s="40">
        <v>40000</v>
      </c>
      <c r="J87" s="41">
        <f t="shared" si="5"/>
        <v>7716000</v>
      </c>
      <c r="K87" s="314"/>
      <c r="L87" s="45"/>
      <c r="M87" s="46"/>
      <c r="N87" s="46"/>
      <c r="O87" s="46"/>
    </row>
    <row r="88" spans="1:15" s="47" customFormat="1" ht="48.75" customHeight="1">
      <c r="A88" s="309"/>
      <c r="B88" s="33" t="s">
        <v>171</v>
      </c>
      <c r="C88" s="34">
        <v>860</v>
      </c>
      <c r="D88" s="34">
        <v>28</v>
      </c>
      <c r="E88" s="35">
        <v>133.30000000000001</v>
      </c>
      <c r="F88" s="34" t="s">
        <v>49</v>
      </c>
      <c r="G88" s="36" t="s">
        <v>50</v>
      </c>
      <c r="H88" s="39">
        <v>133.30000000000001</v>
      </c>
      <c r="I88" s="40">
        <v>40000</v>
      </c>
      <c r="J88" s="41">
        <f t="shared" si="5"/>
        <v>5332000</v>
      </c>
      <c r="K88" s="315"/>
      <c r="L88" s="45"/>
      <c r="M88" s="46"/>
      <c r="N88" s="46"/>
      <c r="O88" s="46"/>
    </row>
    <row r="89" spans="1:15" s="47" customFormat="1" ht="48.75" customHeight="1">
      <c r="A89" s="307">
        <v>34</v>
      </c>
      <c r="B89" s="33" t="s">
        <v>176</v>
      </c>
      <c r="C89" s="34" t="s">
        <v>177</v>
      </c>
      <c r="D89" s="34" t="s">
        <v>99</v>
      </c>
      <c r="E89" s="35">
        <v>178.3</v>
      </c>
      <c r="F89" s="34" t="s">
        <v>49</v>
      </c>
      <c r="G89" s="36" t="s">
        <v>50</v>
      </c>
      <c r="H89" s="39">
        <v>178.3</v>
      </c>
      <c r="I89" s="40">
        <v>40000</v>
      </c>
      <c r="J89" s="41">
        <f t="shared" si="5"/>
        <v>7132000</v>
      </c>
      <c r="K89" s="313">
        <f>SUM(J89:J93)</f>
        <v>40928000</v>
      </c>
      <c r="L89" s="45"/>
      <c r="M89" s="46"/>
      <c r="N89" s="46"/>
      <c r="O89" s="46"/>
    </row>
    <row r="90" spans="1:15" s="47" customFormat="1" ht="48.75" customHeight="1">
      <c r="A90" s="308"/>
      <c r="B90" s="33" t="s">
        <v>176</v>
      </c>
      <c r="C90" s="34" t="s">
        <v>179</v>
      </c>
      <c r="D90" s="34" t="s">
        <v>159</v>
      </c>
      <c r="E90" s="35">
        <v>177.7</v>
      </c>
      <c r="F90" s="34" t="s">
        <v>49</v>
      </c>
      <c r="G90" s="36" t="s">
        <v>50</v>
      </c>
      <c r="H90" s="39">
        <v>177.7</v>
      </c>
      <c r="I90" s="40">
        <v>40000</v>
      </c>
      <c r="J90" s="41">
        <f t="shared" si="5"/>
        <v>7108000</v>
      </c>
      <c r="K90" s="314"/>
      <c r="L90" s="45"/>
      <c r="M90" s="46"/>
      <c r="N90" s="46"/>
      <c r="O90" s="46"/>
    </row>
    <row r="91" spans="1:15" s="47" customFormat="1" ht="48.75" customHeight="1">
      <c r="A91" s="308"/>
      <c r="B91" s="33" t="s">
        <v>176</v>
      </c>
      <c r="C91" s="34" t="s">
        <v>180</v>
      </c>
      <c r="D91" s="34" t="s">
        <v>99</v>
      </c>
      <c r="E91" s="35">
        <v>266.89999999999998</v>
      </c>
      <c r="F91" s="34" t="s">
        <v>49</v>
      </c>
      <c r="G91" s="36" t="s">
        <v>74</v>
      </c>
      <c r="H91" s="39">
        <v>266.89999999999998</v>
      </c>
      <c r="I91" s="40">
        <v>40000</v>
      </c>
      <c r="J91" s="41">
        <f t="shared" si="5"/>
        <v>10676000</v>
      </c>
      <c r="K91" s="314"/>
      <c r="L91" s="45"/>
      <c r="M91" s="46"/>
      <c r="N91" s="46"/>
      <c r="O91" s="46"/>
    </row>
    <row r="92" spans="1:15" s="47" customFormat="1" ht="48.75" customHeight="1">
      <c r="A92" s="308"/>
      <c r="B92" s="33" t="s">
        <v>176</v>
      </c>
      <c r="C92" s="34" t="s">
        <v>181</v>
      </c>
      <c r="D92" s="34" t="s">
        <v>99</v>
      </c>
      <c r="E92" s="35">
        <v>373</v>
      </c>
      <c r="F92" s="34" t="s">
        <v>45</v>
      </c>
      <c r="G92" s="36" t="s">
        <v>60</v>
      </c>
      <c r="H92" s="39">
        <v>373</v>
      </c>
      <c r="I92" s="40">
        <v>40000</v>
      </c>
      <c r="J92" s="41">
        <f t="shared" si="5"/>
        <v>14920000</v>
      </c>
      <c r="K92" s="314"/>
      <c r="L92" s="45"/>
      <c r="M92" s="46"/>
      <c r="N92" s="46"/>
      <c r="O92" s="46"/>
    </row>
    <row r="93" spans="1:15" s="47" customFormat="1" ht="48.75" customHeight="1">
      <c r="A93" s="309"/>
      <c r="B93" s="33" t="s">
        <v>176</v>
      </c>
      <c r="C93" s="34" t="s">
        <v>183</v>
      </c>
      <c r="D93" s="34" t="s">
        <v>99</v>
      </c>
      <c r="E93" s="35">
        <v>240.5</v>
      </c>
      <c r="F93" s="34" t="s">
        <v>49</v>
      </c>
      <c r="G93" s="36" t="s">
        <v>57</v>
      </c>
      <c r="H93" s="39">
        <v>27.3</v>
      </c>
      <c r="I93" s="40">
        <v>40000</v>
      </c>
      <c r="J93" s="41">
        <f t="shared" si="5"/>
        <v>1092000</v>
      </c>
      <c r="K93" s="315"/>
      <c r="L93" s="45"/>
      <c r="M93" s="46"/>
      <c r="N93" s="46"/>
      <c r="O93" s="46"/>
    </row>
    <row r="94" spans="1:15" s="68" customFormat="1" ht="48.75" customHeight="1">
      <c r="A94" s="307">
        <v>35</v>
      </c>
      <c r="B94" s="33" t="s">
        <v>184</v>
      </c>
      <c r="C94" s="34" t="s">
        <v>185</v>
      </c>
      <c r="D94" s="34" t="s">
        <v>99</v>
      </c>
      <c r="E94" s="35">
        <v>567.79999999999995</v>
      </c>
      <c r="F94" s="34" t="s">
        <v>45</v>
      </c>
      <c r="G94" s="36" t="s">
        <v>60</v>
      </c>
      <c r="H94" s="39">
        <v>506.1</v>
      </c>
      <c r="I94" s="40">
        <v>40000</v>
      </c>
      <c r="J94" s="41">
        <f t="shared" si="5"/>
        <v>20244000</v>
      </c>
      <c r="K94" s="313">
        <f>J94+J95</f>
        <v>20796000</v>
      </c>
      <c r="L94" s="45"/>
      <c r="M94" s="67"/>
      <c r="N94" s="67"/>
      <c r="O94" s="67"/>
    </row>
    <row r="95" spans="1:15" s="68" customFormat="1" ht="48.75" customHeight="1">
      <c r="A95" s="309"/>
      <c r="B95" s="33" t="s">
        <v>184</v>
      </c>
      <c r="C95" s="34">
        <v>197</v>
      </c>
      <c r="D95" s="34" t="s">
        <v>99</v>
      </c>
      <c r="E95" s="35">
        <v>900.7</v>
      </c>
      <c r="F95" s="34" t="s">
        <v>45</v>
      </c>
      <c r="G95" s="36" t="s">
        <v>60</v>
      </c>
      <c r="H95" s="39">
        <v>13.8</v>
      </c>
      <c r="I95" s="40">
        <v>40000</v>
      </c>
      <c r="J95" s="41">
        <f t="shared" si="5"/>
        <v>552000</v>
      </c>
      <c r="K95" s="315"/>
      <c r="L95" s="45"/>
      <c r="M95" s="67"/>
      <c r="N95" s="67"/>
      <c r="O95" s="67"/>
    </row>
    <row r="96" spans="1:15" s="68" customFormat="1" ht="48.75" customHeight="1">
      <c r="A96" s="307">
        <v>36</v>
      </c>
      <c r="B96" s="33" t="s">
        <v>186</v>
      </c>
      <c r="C96" s="34" t="s">
        <v>187</v>
      </c>
      <c r="D96" s="34" t="s">
        <v>99</v>
      </c>
      <c r="E96" s="35">
        <v>373.1</v>
      </c>
      <c r="F96" s="34" t="s">
        <v>45</v>
      </c>
      <c r="G96" s="36" t="s">
        <v>60</v>
      </c>
      <c r="H96" s="39">
        <v>326.7</v>
      </c>
      <c r="I96" s="40">
        <v>40000</v>
      </c>
      <c r="J96" s="41">
        <f t="shared" si="5"/>
        <v>13068000</v>
      </c>
      <c r="K96" s="313">
        <f>SUM(J96:J100)</f>
        <v>34640000</v>
      </c>
      <c r="L96" s="45"/>
      <c r="M96" s="67"/>
      <c r="N96" s="67"/>
      <c r="O96" s="67"/>
    </row>
    <row r="97" spans="1:15" s="68" customFormat="1" ht="48.75" customHeight="1">
      <c r="A97" s="308"/>
      <c r="B97" s="33" t="s">
        <v>186</v>
      </c>
      <c r="C97" s="34">
        <v>72</v>
      </c>
      <c r="D97" s="34">
        <v>28</v>
      </c>
      <c r="E97" s="35">
        <v>502.3</v>
      </c>
      <c r="F97" s="34" t="s">
        <v>45</v>
      </c>
      <c r="G97" s="36" t="s">
        <v>60</v>
      </c>
      <c r="H97" s="39">
        <v>74.40000000000002</v>
      </c>
      <c r="I97" s="40">
        <v>40000</v>
      </c>
      <c r="J97" s="41">
        <f t="shared" si="5"/>
        <v>2976000.0000000009</v>
      </c>
      <c r="K97" s="314"/>
      <c r="L97" s="45"/>
      <c r="M97" s="67"/>
      <c r="N97" s="67"/>
      <c r="O97" s="67"/>
    </row>
    <row r="98" spans="1:15" s="68" customFormat="1" ht="48.75" customHeight="1">
      <c r="A98" s="308"/>
      <c r="B98" s="33" t="s">
        <v>186</v>
      </c>
      <c r="C98" s="34" t="s">
        <v>189</v>
      </c>
      <c r="D98" s="34" t="s">
        <v>99</v>
      </c>
      <c r="E98" s="35">
        <v>173.5</v>
      </c>
      <c r="F98" s="34" t="s">
        <v>49</v>
      </c>
      <c r="G98" s="36" t="s">
        <v>57</v>
      </c>
      <c r="H98" s="39">
        <v>173.5</v>
      </c>
      <c r="I98" s="40">
        <v>40000</v>
      </c>
      <c r="J98" s="41">
        <f t="shared" si="5"/>
        <v>6940000</v>
      </c>
      <c r="K98" s="314"/>
      <c r="L98" s="45"/>
      <c r="M98" s="67"/>
      <c r="N98" s="67"/>
      <c r="O98" s="67"/>
    </row>
    <row r="99" spans="1:15" s="68" customFormat="1" ht="48.75" customHeight="1">
      <c r="A99" s="308"/>
      <c r="B99" s="33" t="s">
        <v>186</v>
      </c>
      <c r="C99" s="34" t="s">
        <v>192</v>
      </c>
      <c r="D99" s="34" t="s">
        <v>96</v>
      </c>
      <c r="E99" s="35">
        <v>80.7</v>
      </c>
      <c r="F99" s="34" t="s">
        <v>49</v>
      </c>
      <c r="G99" s="36" t="s">
        <v>193</v>
      </c>
      <c r="H99" s="39">
        <v>80.7</v>
      </c>
      <c r="I99" s="40">
        <v>40000</v>
      </c>
      <c r="J99" s="41">
        <f t="shared" si="5"/>
        <v>3228000</v>
      </c>
      <c r="K99" s="314"/>
      <c r="L99" s="45"/>
      <c r="M99" s="67"/>
      <c r="N99" s="67"/>
      <c r="O99" s="67"/>
    </row>
    <row r="100" spans="1:15" s="68" customFormat="1" ht="48.75" customHeight="1">
      <c r="A100" s="308"/>
      <c r="B100" s="33" t="s">
        <v>186</v>
      </c>
      <c r="C100" s="34" t="s">
        <v>194</v>
      </c>
      <c r="D100" s="34" t="s">
        <v>96</v>
      </c>
      <c r="E100" s="35">
        <v>210.7</v>
      </c>
      <c r="F100" s="34" t="s">
        <v>45</v>
      </c>
      <c r="G100" s="36" t="s">
        <v>195</v>
      </c>
      <c r="H100" s="39">
        <v>210.7</v>
      </c>
      <c r="I100" s="40">
        <v>40000</v>
      </c>
      <c r="J100" s="41">
        <f t="shared" si="5"/>
        <v>8428000</v>
      </c>
      <c r="K100" s="314"/>
      <c r="L100" s="45"/>
      <c r="M100" s="67"/>
      <c r="N100" s="67"/>
      <c r="O100" s="67"/>
    </row>
    <row r="101" spans="1:15" s="68" customFormat="1" ht="48.75" customHeight="1">
      <c r="A101" s="307">
        <v>37</v>
      </c>
      <c r="B101" s="33" t="s">
        <v>196</v>
      </c>
      <c r="C101" s="34" t="s">
        <v>197</v>
      </c>
      <c r="D101" s="34" t="s">
        <v>99</v>
      </c>
      <c r="E101" s="35">
        <v>146.80000000000001</v>
      </c>
      <c r="F101" s="34" t="s">
        <v>49</v>
      </c>
      <c r="G101" s="36" t="s">
        <v>198</v>
      </c>
      <c r="H101" s="39">
        <v>146.80000000000001</v>
      </c>
      <c r="I101" s="40">
        <v>40000</v>
      </c>
      <c r="J101" s="41">
        <f t="shared" si="5"/>
        <v>5872000</v>
      </c>
      <c r="K101" s="313">
        <f>SUM(J101:J105)</f>
        <v>49692000</v>
      </c>
      <c r="L101" s="45"/>
      <c r="M101" s="67"/>
      <c r="N101" s="67"/>
      <c r="O101" s="67"/>
    </row>
    <row r="102" spans="1:15" s="68" customFormat="1" ht="48.75" customHeight="1">
      <c r="A102" s="308"/>
      <c r="B102" s="33" t="s">
        <v>196</v>
      </c>
      <c r="C102" s="34" t="s">
        <v>200</v>
      </c>
      <c r="D102" s="34" t="s">
        <v>99</v>
      </c>
      <c r="E102" s="35">
        <v>87.8</v>
      </c>
      <c r="F102" s="34" t="s">
        <v>49</v>
      </c>
      <c r="G102" s="36" t="s">
        <v>57</v>
      </c>
      <c r="H102" s="39">
        <v>87.8</v>
      </c>
      <c r="I102" s="40">
        <v>40000</v>
      </c>
      <c r="J102" s="41">
        <f t="shared" si="5"/>
        <v>3512000</v>
      </c>
      <c r="K102" s="314"/>
      <c r="L102" s="45"/>
      <c r="M102" s="67"/>
      <c r="N102" s="67"/>
      <c r="O102" s="67"/>
    </row>
    <row r="103" spans="1:15" s="68" customFormat="1" ht="48.75" customHeight="1">
      <c r="A103" s="308"/>
      <c r="B103" s="33" t="s">
        <v>196</v>
      </c>
      <c r="C103" s="34" t="s">
        <v>201</v>
      </c>
      <c r="D103" s="34" t="s">
        <v>99</v>
      </c>
      <c r="E103" s="35">
        <v>696.9</v>
      </c>
      <c r="F103" s="34" t="s">
        <v>45</v>
      </c>
      <c r="G103" s="36" t="s">
        <v>60</v>
      </c>
      <c r="H103" s="39">
        <v>696.9</v>
      </c>
      <c r="I103" s="40">
        <v>40000</v>
      </c>
      <c r="J103" s="41">
        <f t="shared" si="5"/>
        <v>27876000</v>
      </c>
      <c r="K103" s="314"/>
      <c r="L103" s="45"/>
      <c r="M103" s="67"/>
      <c r="N103" s="67"/>
      <c r="O103" s="67"/>
    </row>
    <row r="104" spans="1:15" s="68" customFormat="1" ht="48.75" customHeight="1">
      <c r="A104" s="308"/>
      <c r="B104" s="33" t="s">
        <v>196</v>
      </c>
      <c r="C104" s="34" t="s">
        <v>202</v>
      </c>
      <c r="D104" s="34" t="s">
        <v>99</v>
      </c>
      <c r="E104" s="35">
        <v>294.3</v>
      </c>
      <c r="F104" s="34" t="s">
        <v>49</v>
      </c>
      <c r="G104" s="36" t="s">
        <v>111</v>
      </c>
      <c r="H104" s="39">
        <v>258.3</v>
      </c>
      <c r="I104" s="40">
        <v>40000</v>
      </c>
      <c r="J104" s="41">
        <f t="shared" si="5"/>
        <v>10332000</v>
      </c>
      <c r="K104" s="314"/>
      <c r="L104" s="45"/>
      <c r="M104" s="67"/>
      <c r="N104" s="67"/>
      <c r="O104" s="67"/>
    </row>
    <row r="105" spans="1:15" s="68" customFormat="1" ht="48.75" customHeight="1">
      <c r="A105" s="309"/>
      <c r="B105" s="33" t="s">
        <v>196</v>
      </c>
      <c r="C105" s="34" t="s">
        <v>203</v>
      </c>
      <c r="D105" s="34" t="s">
        <v>99</v>
      </c>
      <c r="E105" s="35">
        <v>52.5</v>
      </c>
      <c r="F105" s="34" t="s">
        <v>55</v>
      </c>
      <c r="G105" s="36" t="s">
        <v>60</v>
      </c>
      <c r="H105" s="39">
        <v>52.5</v>
      </c>
      <c r="I105" s="40">
        <v>40000</v>
      </c>
      <c r="J105" s="41">
        <f t="shared" si="5"/>
        <v>2100000</v>
      </c>
      <c r="K105" s="315"/>
      <c r="L105" s="45"/>
      <c r="M105" s="67"/>
      <c r="N105" s="67"/>
      <c r="O105" s="67"/>
    </row>
    <row r="106" spans="1:15" s="68" customFormat="1" ht="48.75" customHeight="1">
      <c r="A106" s="32">
        <v>38</v>
      </c>
      <c r="B106" s="33" t="s">
        <v>205</v>
      </c>
      <c r="C106" s="34" t="s">
        <v>206</v>
      </c>
      <c r="D106" s="34" t="s">
        <v>99</v>
      </c>
      <c r="E106" s="35">
        <v>348.4</v>
      </c>
      <c r="F106" s="34" t="s">
        <v>55</v>
      </c>
      <c r="G106" s="36" t="s">
        <v>60</v>
      </c>
      <c r="H106" s="39">
        <v>174.2</v>
      </c>
      <c r="I106" s="40">
        <v>40000</v>
      </c>
      <c r="J106" s="41">
        <f t="shared" si="5"/>
        <v>6968000</v>
      </c>
      <c r="K106" s="64">
        <f>J106</f>
        <v>6968000</v>
      </c>
      <c r="L106" s="45"/>
      <c r="M106" s="67"/>
      <c r="N106" s="67"/>
      <c r="O106" s="67"/>
    </row>
    <row r="107" spans="1:15" s="47" customFormat="1" ht="48.75" customHeight="1">
      <c r="A107" s="307">
        <v>39</v>
      </c>
      <c r="B107" s="33" t="s">
        <v>207</v>
      </c>
      <c r="C107" s="34" t="s">
        <v>208</v>
      </c>
      <c r="D107" s="34" t="s">
        <v>99</v>
      </c>
      <c r="E107" s="35">
        <v>699.3</v>
      </c>
      <c r="F107" s="34" t="s">
        <v>45</v>
      </c>
      <c r="G107" s="36" t="s">
        <v>54</v>
      </c>
      <c r="H107" s="39">
        <v>699.3</v>
      </c>
      <c r="I107" s="40">
        <v>40000</v>
      </c>
      <c r="J107" s="41">
        <f t="shared" si="5"/>
        <v>27972000</v>
      </c>
      <c r="K107" s="313">
        <f>SUM(J107:J111)</f>
        <v>62768000</v>
      </c>
      <c r="L107" s="45"/>
      <c r="M107" s="46"/>
      <c r="N107" s="46"/>
      <c r="O107" s="46"/>
    </row>
    <row r="108" spans="1:15" s="47" customFormat="1" ht="48.75" customHeight="1">
      <c r="A108" s="308"/>
      <c r="B108" s="33" t="s">
        <v>207</v>
      </c>
      <c r="C108" s="34" t="s">
        <v>209</v>
      </c>
      <c r="D108" s="34" t="s">
        <v>99</v>
      </c>
      <c r="E108" s="35">
        <v>193.4</v>
      </c>
      <c r="F108" s="34" t="s">
        <v>55</v>
      </c>
      <c r="G108" s="36" t="s">
        <v>60</v>
      </c>
      <c r="H108" s="39">
        <v>193.4</v>
      </c>
      <c r="I108" s="40">
        <v>40000</v>
      </c>
      <c r="J108" s="41">
        <f t="shared" si="5"/>
        <v>7736000</v>
      </c>
      <c r="K108" s="314"/>
      <c r="L108" s="45"/>
      <c r="M108" s="46"/>
      <c r="N108" s="46"/>
      <c r="O108" s="46"/>
    </row>
    <row r="109" spans="1:15" s="47" customFormat="1" ht="48.75" customHeight="1">
      <c r="A109" s="308"/>
      <c r="B109" s="33" t="s">
        <v>207</v>
      </c>
      <c r="C109" s="34" t="s">
        <v>210</v>
      </c>
      <c r="D109" s="34" t="s">
        <v>99</v>
      </c>
      <c r="E109" s="35">
        <v>336.1</v>
      </c>
      <c r="F109" s="34" t="s">
        <v>45</v>
      </c>
      <c r="G109" s="36" t="s">
        <v>60</v>
      </c>
      <c r="H109" s="39">
        <v>336.1</v>
      </c>
      <c r="I109" s="40">
        <v>40000</v>
      </c>
      <c r="J109" s="41">
        <f t="shared" si="5"/>
        <v>13444000</v>
      </c>
      <c r="K109" s="314"/>
      <c r="L109" s="45"/>
      <c r="M109" s="46"/>
      <c r="N109" s="46"/>
      <c r="O109" s="46"/>
    </row>
    <row r="110" spans="1:15" s="47" customFormat="1" ht="48.75" customHeight="1">
      <c r="A110" s="308"/>
      <c r="B110" s="33" t="s">
        <v>207</v>
      </c>
      <c r="C110" s="34" t="s">
        <v>211</v>
      </c>
      <c r="D110" s="34" t="s">
        <v>99</v>
      </c>
      <c r="E110" s="35">
        <v>131.19999999999999</v>
      </c>
      <c r="F110" s="34" t="s">
        <v>49</v>
      </c>
      <c r="G110" s="36" t="s">
        <v>57</v>
      </c>
      <c r="H110" s="39">
        <v>131.19999999999999</v>
      </c>
      <c r="I110" s="40">
        <v>40000</v>
      </c>
      <c r="J110" s="41">
        <f t="shared" si="5"/>
        <v>5248000</v>
      </c>
      <c r="K110" s="314"/>
      <c r="L110" s="45"/>
      <c r="M110" s="46"/>
      <c r="N110" s="46"/>
      <c r="O110" s="46"/>
    </row>
    <row r="111" spans="1:15" s="47" customFormat="1" ht="48.75" customHeight="1">
      <c r="A111" s="309"/>
      <c r="B111" s="33" t="s">
        <v>207</v>
      </c>
      <c r="C111" s="34" t="s">
        <v>212</v>
      </c>
      <c r="D111" s="34" t="s">
        <v>99</v>
      </c>
      <c r="E111" s="35">
        <v>209.2</v>
      </c>
      <c r="F111" s="34" t="s">
        <v>49</v>
      </c>
      <c r="G111" s="36" t="s">
        <v>57</v>
      </c>
      <c r="H111" s="39">
        <v>209.2</v>
      </c>
      <c r="I111" s="40">
        <v>40000</v>
      </c>
      <c r="J111" s="41">
        <f t="shared" si="5"/>
        <v>8368000</v>
      </c>
      <c r="K111" s="315"/>
      <c r="L111" s="45"/>
      <c r="M111" s="46"/>
      <c r="N111" s="46"/>
      <c r="O111" s="46"/>
    </row>
    <row r="112" spans="1:15" s="68" customFormat="1" ht="48.75" customHeight="1">
      <c r="A112" s="307">
        <v>40</v>
      </c>
      <c r="B112" s="33" t="s">
        <v>213</v>
      </c>
      <c r="C112" s="34" t="s">
        <v>214</v>
      </c>
      <c r="D112" s="34" t="s">
        <v>99</v>
      </c>
      <c r="E112" s="35">
        <v>270.3</v>
      </c>
      <c r="F112" s="34" t="s">
        <v>49</v>
      </c>
      <c r="G112" s="36" t="s">
        <v>57</v>
      </c>
      <c r="H112" s="39">
        <v>270.3</v>
      </c>
      <c r="I112" s="40">
        <v>40000</v>
      </c>
      <c r="J112" s="41">
        <f t="shared" si="5"/>
        <v>10812000</v>
      </c>
      <c r="K112" s="313">
        <f>SUM(J112:J115)</f>
        <v>32328000</v>
      </c>
      <c r="L112" s="45"/>
      <c r="M112" s="67"/>
      <c r="N112" s="67"/>
      <c r="O112" s="67"/>
    </row>
    <row r="113" spans="1:15" s="68" customFormat="1" ht="48.75" customHeight="1">
      <c r="A113" s="308"/>
      <c r="B113" s="33" t="s">
        <v>213</v>
      </c>
      <c r="C113" s="34" t="s">
        <v>215</v>
      </c>
      <c r="D113" s="34" t="s">
        <v>99</v>
      </c>
      <c r="E113" s="35">
        <v>124.5</v>
      </c>
      <c r="F113" s="34" t="s">
        <v>45</v>
      </c>
      <c r="G113" s="36" t="s">
        <v>54</v>
      </c>
      <c r="H113" s="39">
        <v>124.5</v>
      </c>
      <c r="I113" s="40">
        <v>40000</v>
      </c>
      <c r="J113" s="41">
        <f t="shared" si="5"/>
        <v>4980000</v>
      </c>
      <c r="K113" s="314"/>
      <c r="L113" s="56"/>
      <c r="M113" s="67"/>
      <c r="N113" s="67"/>
      <c r="O113" s="67"/>
    </row>
    <row r="114" spans="1:15" s="68" customFormat="1" ht="48.75" customHeight="1">
      <c r="A114" s="308"/>
      <c r="B114" s="33" t="s">
        <v>213</v>
      </c>
      <c r="C114" s="79" t="s">
        <v>96</v>
      </c>
      <c r="D114" s="79" t="s">
        <v>99</v>
      </c>
      <c r="E114" s="80">
        <v>286</v>
      </c>
      <c r="F114" s="79" t="s">
        <v>45</v>
      </c>
      <c r="G114" s="72" t="s">
        <v>54</v>
      </c>
      <c r="H114" s="39">
        <v>286</v>
      </c>
      <c r="I114" s="40">
        <v>40000</v>
      </c>
      <c r="J114" s="41">
        <f t="shared" si="5"/>
        <v>11440000</v>
      </c>
      <c r="K114" s="314"/>
      <c r="L114" s="45"/>
      <c r="M114" s="67"/>
      <c r="N114" s="67"/>
      <c r="O114" s="67"/>
    </row>
    <row r="115" spans="1:15" s="68" customFormat="1" ht="48.75" customHeight="1">
      <c r="A115" s="309"/>
      <c r="B115" s="33" t="s">
        <v>213</v>
      </c>
      <c r="C115" s="34" t="s">
        <v>217</v>
      </c>
      <c r="D115" s="34" t="s">
        <v>99</v>
      </c>
      <c r="E115" s="35">
        <v>127.4</v>
      </c>
      <c r="F115" s="34" t="s">
        <v>55</v>
      </c>
      <c r="G115" s="36" t="s">
        <v>56</v>
      </c>
      <c r="H115" s="39">
        <v>127.4</v>
      </c>
      <c r="I115" s="40">
        <v>40000</v>
      </c>
      <c r="J115" s="41">
        <f t="shared" si="5"/>
        <v>5096000</v>
      </c>
      <c r="K115" s="314"/>
      <c r="L115" s="45"/>
      <c r="M115" s="67"/>
      <c r="N115" s="67"/>
      <c r="O115" s="67"/>
    </row>
    <row r="116" spans="1:15" s="47" customFormat="1" ht="60.75" customHeight="1">
      <c r="A116" s="151">
        <v>41</v>
      </c>
      <c r="B116" s="33" t="s">
        <v>218</v>
      </c>
      <c r="C116" s="34" t="s">
        <v>219</v>
      </c>
      <c r="D116" s="34">
        <v>28</v>
      </c>
      <c r="E116" s="35">
        <v>516.79999999999995</v>
      </c>
      <c r="F116" s="34" t="s">
        <v>45</v>
      </c>
      <c r="G116" s="36" t="s">
        <v>60</v>
      </c>
      <c r="H116" s="39">
        <v>516.79999999999995</v>
      </c>
      <c r="I116" s="40">
        <v>40000</v>
      </c>
      <c r="J116" s="41">
        <f t="shared" si="5"/>
        <v>20672000</v>
      </c>
      <c r="K116" s="76">
        <f>SUM(J116:J116)</f>
        <v>20672000</v>
      </c>
      <c r="L116" s="45"/>
      <c r="M116" s="46"/>
      <c r="N116" s="46"/>
      <c r="O116" s="46"/>
    </row>
    <row r="117" spans="1:15" s="68" customFormat="1" ht="47.25" customHeight="1">
      <c r="A117" s="307">
        <v>42</v>
      </c>
      <c r="B117" s="33" t="s">
        <v>521</v>
      </c>
      <c r="C117" s="34">
        <v>526</v>
      </c>
      <c r="D117" s="34">
        <v>28</v>
      </c>
      <c r="E117" s="35">
        <v>106.5</v>
      </c>
      <c r="F117" s="34" t="s">
        <v>49</v>
      </c>
      <c r="G117" s="36" t="s">
        <v>111</v>
      </c>
      <c r="H117" s="39">
        <v>106.5</v>
      </c>
      <c r="I117" s="40">
        <v>40000</v>
      </c>
      <c r="J117" s="41">
        <f t="shared" si="5"/>
        <v>4260000</v>
      </c>
      <c r="K117" s="313">
        <f>SUM(J117:J120)</f>
        <v>19152000</v>
      </c>
      <c r="L117" s="45"/>
      <c r="M117" s="67"/>
      <c r="N117" s="67"/>
      <c r="O117" s="67"/>
    </row>
    <row r="118" spans="1:15" s="68" customFormat="1" ht="47.25" customHeight="1">
      <c r="A118" s="308"/>
      <c r="B118" s="33" t="s">
        <v>521</v>
      </c>
      <c r="C118" s="34">
        <v>196</v>
      </c>
      <c r="D118" s="34">
        <v>28</v>
      </c>
      <c r="E118" s="35">
        <v>232.9</v>
      </c>
      <c r="F118" s="34" t="s">
        <v>45</v>
      </c>
      <c r="G118" s="36" t="s">
        <v>46</v>
      </c>
      <c r="H118" s="39">
        <v>53.9</v>
      </c>
      <c r="I118" s="40">
        <v>40000</v>
      </c>
      <c r="J118" s="41">
        <f t="shared" si="5"/>
        <v>2156000</v>
      </c>
      <c r="K118" s="314"/>
      <c r="L118" s="45"/>
      <c r="M118" s="67"/>
      <c r="N118" s="67"/>
      <c r="O118" s="67"/>
    </row>
    <row r="119" spans="1:15" s="68" customFormat="1" ht="47.25" customHeight="1">
      <c r="A119" s="308"/>
      <c r="B119" s="33" t="s">
        <v>521</v>
      </c>
      <c r="C119" s="34">
        <v>197</v>
      </c>
      <c r="D119" s="34">
        <v>28</v>
      </c>
      <c r="E119" s="35">
        <v>900.7</v>
      </c>
      <c r="F119" s="34" t="s">
        <v>45</v>
      </c>
      <c r="G119" s="36" t="s">
        <v>46</v>
      </c>
      <c r="H119" s="39">
        <v>193.7</v>
      </c>
      <c r="I119" s="40">
        <v>40000</v>
      </c>
      <c r="J119" s="41">
        <f t="shared" si="5"/>
        <v>7748000</v>
      </c>
      <c r="K119" s="314"/>
      <c r="L119" s="45"/>
      <c r="M119" s="67"/>
      <c r="N119" s="67"/>
      <c r="O119" s="67"/>
    </row>
    <row r="120" spans="1:15" s="68" customFormat="1" ht="47.25" customHeight="1">
      <c r="A120" s="308"/>
      <c r="B120" s="33" t="s">
        <v>521</v>
      </c>
      <c r="C120" s="34">
        <v>85</v>
      </c>
      <c r="D120" s="34">
        <v>28</v>
      </c>
      <c r="E120" s="35">
        <v>124.7</v>
      </c>
      <c r="F120" s="34" t="s">
        <v>49</v>
      </c>
      <c r="G120" s="36" t="s">
        <v>50</v>
      </c>
      <c r="H120" s="39">
        <v>124.7</v>
      </c>
      <c r="I120" s="40">
        <v>40000</v>
      </c>
      <c r="J120" s="41">
        <f t="shared" si="5"/>
        <v>4988000</v>
      </c>
      <c r="K120" s="314"/>
      <c r="L120" s="45"/>
      <c r="M120" s="67"/>
      <c r="N120" s="67"/>
      <c r="O120" s="67"/>
    </row>
    <row r="121" spans="1:15" s="68" customFormat="1" ht="47.25" customHeight="1">
      <c r="A121" s="307">
        <v>43</v>
      </c>
      <c r="B121" s="33" t="s">
        <v>221</v>
      </c>
      <c r="C121" s="34" t="s">
        <v>222</v>
      </c>
      <c r="D121" s="34" t="s">
        <v>159</v>
      </c>
      <c r="E121" s="35">
        <v>139.6</v>
      </c>
      <c r="F121" s="34" t="s">
        <v>49</v>
      </c>
      <c r="G121" s="36" t="s">
        <v>50</v>
      </c>
      <c r="H121" s="39">
        <v>139.6</v>
      </c>
      <c r="I121" s="40">
        <v>40000</v>
      </c>
      <c r="J121" s="41">
        <f t="shared" si="5"/>
        <v>5584000</v>
      </c>
      <c r="K121" s="313">
        <f>SUM(J121:J123)</f>
        <v>30284000</v>
      </c>
      <c r="L121" s="45"/>
      <c r="M121" s="67"/>
      <c r="N121" s="67"/>
      <c r="O121" s="67"/>
    </row>
    <row r="122" spans="1:15" s="68" customFormat="1" ht="47.25" customHeight="1">
      <c r="A122" s="308"/>
      <c r="B122" s="33" t="s">
        <v>221</v>
      </c>
      <c r="C122" s="34" t="s">
        <v>224</v>
      </c>
      <c r="D122" s="34" t="s">
        <v>99</v>
      </c>
      <c r="E122" s="35">
        <v>243.4</v>
      </c>
      <c r="F122" s="34" t="s">
        <v>49</v>
      </c>
      <c r="G122" s="36" t="s">
        <v>50</v>
      </c>
      <c r="H122" s="39">
        <v>243.4</v>
      </c>
      <c r="I122" s="40">
        <v>40000</v>
      </c>
      <c r="J122" s="41">
        <f t="shared" si="5"/>
        <v>9736000</v>
      </c>
      <c r="K122" s="314"/>
      <c r="L122" s="45"/>
      <c r="M122" s="67"/>
      <c r="N122" s="67"/>
      <c r="O122" s="67"/>
    </row>
    <row r="123" spans="1:15" s="68" customFormat="1" ht="47.25" customHeight="1">
      <c r="A123" s="308"/>
      <c r="B123" s="33" t="s">
        <v>221</v>
      </c>
      <c r="C123" s="34">
        <v>100</v>
      </c>
      <c r="D123" s="34">
        <v>28</v>
      </c>
      <c r="E123" s="35">
        <v>715.9</v>
      </c>
      <c r="F123" s="34" t="s">
        <v>45</v>
      </c>
      <c r="G123" s="36" t="s">
        <v>46</v>
      </c>
      <c r="H123" s="39">
        <v>374.1</v>
      </c>
      <c r="I123" s="40">
        <v>40000</v>
      </c>
      <c r="J123" s="41">
        <f t="shared" si="5"/>
        <v>14964000</v>
      </c>
      <c r="K123" s="314"/>
      <c r="L123" s="45"/>
      <c r="M123" s="67"/>
      <c r="N123" s="67"/>
      <c r="O123" s="67"/>
    </row>
    <row r="124" spans="1:15" s="68" customFormat="1" ht="47.25" customHeight="1">
      <c r="A124" s="307">
        <v>44</v>
      </c>
      <c r="B124" s="33" t="s">
        <v>226</v>
      </c>
      <c r="C124" s="34">
        <v>63</v>
      </c>
      <c r="D124" s="34">
        <v>28</v>
      </c>
      <c r="E124" s="35">
        <v>96.9</v>
      </c>
      <c r="F124" s="34" t="s">
        <v>55</v>
      </c>
      <c r="G124" s="36" t="s">
        <v>227</v>
      </c>
      <c r="H124" s="39">
        <v>96.9</v>
      </c>
      <c r="I124" s="40">
        <v>40000</v>
      </c>
      <c r="J124" s="41">
        <f t="shared" si="5"/>
        <v>3876000</v>
      </c>
      <c r="K124" s="313">
        <f>SUM(J124:J128)</f>
        <v>26624000</v>
      </c>
      <c r="L124" s="45"/>
      <c r="M124" s="67"/>
      <c r="N124" s="67"/>
      <c r="O124" s="67"/>
    </row>
    <row r="125" spans="1:15" s="68" customFormat="1" ht="47.25" customHeight="1">
      <c r="A125" s="308"/>
      <c r="B125" s="33" t="s">
        <v>226</v>
      </c>
      <c r="C125" s="34" t="s">
        <v>228</v>
      </c>
      <c r="D125" s="34" t="s">
        <v>99</v>
      </c>
      <c r="E125" s="35">
        <v>351.7</v>
      </c>
      <c r="F125" s="34" t="s">
        <v>45</v>
      </c>
      <c r="G125" s="36" t="s">
        <v>46</v>
      </c>
      <c r="H125" s="39">
        <v>351.7</v>
      </c>
      <c r="I125" s="40">
        <v>40000</v>
      </c>
      <c r="J125" s="41">
        <f t="shared" si="5"/>
        <v>14068000</v>
      </c>
      <c r="K125" s="314"/>
      <c r="L125" s="45"/>
      <c r="M125" s="67"/>
      <c r="N125" s="67"/>
      <c r="O125" s="67"/>
    </row>
    <row r="126" spans="1:15" s="68" customFormat="1" ht="47.25" customHeight="1">
      <c r="A126" s="308"/>
      <c r="B126" s="33" t="s">
        <v>226</v>
      </c>
      <c r="C126" s="34">
        <v>199</v>
      </c>
      <c r="D126" s="34" t="s">
        <v>99</v>
      </c>
      <c r="E126" s="35">
        <v>197.2</v>
      </c>
      <c r="F126" s="34" t="s">
        <v>45</v>
      </c>
      <c r="G126" s="36" t="s">
        <v>46</v>
      </c>
      <c r="H126" s="39">
        <v>4.7</v>
      </c>
      <c r="I126" s="40">
        <v>40000</v>
      </c>
      <c r="J126" s="41">
        <f t="shared" si="5"/>
        <v>188000</v>
      </c>
      <c r="K126" s="314"/>
      <c r="L126" s="45"/>
      <c r="M126" s="67"/>
      <c r="N126" s="67"/>
      <c r="O126" s="67"/>
    </row>
    <row r="127" spans="1:15" s="68" customFormat="1" ht="47.25" customHeight="1">
      <c r="A127" s="308"/>
      <c r="B127" s="33" t="s">
        <v>226</v>
      </c>
      <c r="C127" s="34">
        <v>145</v>
      </c>
      <c r="D127" s="34" t="s">
        <v>99</v>
      </c>
      <c r="E127" s="35">
        <v>555.79999999999995</v>
      </c>
      <c r="F127" s="34" t="s">
        <v>45</v>
      </c>
      <c r="G127" s="36" t="s">
        <v>46</v>
      </c>
      <c r="H127" s="39">
        <v>3.6</v>
      </c>
      <c r="I127" s="40">
        <v>40000</v>
      </c>
      <c r="J127" s="41">
        <f t="shared" si="5"/>
        <v>144000</v>
      </c>
      <c r="K127" s="314"/>
      <c r="L127" s="45"/>
      <c r="M127" s="67"/>
      <c r="N127" s="67"/>
      <c r="O127" s="67"/>
    </row>
    <row r="128" spans="1:15" s="68" customFormat="1" ht="47.25" customHeight="1">
      <c r="A128" s="309"/>
      <c r="B128" s="33" t="s">
        <v>226</v>
      </c>
      <c r="C128" s="34" t="s">
        <v>229</v>
      </c>
      <c r="D128" s="34" t="s">
        <v>99</v>
      </c>
      <c r="E128" s="35">
        <v>208.7</v>
      </c>
      <c r="F128" s="34" t="s">
        <v>49</v>
      </c>
      <c r="G128" s="36" t="s">
        <v>111</v>
      </c>
      <c r="H128" s="39">
        <v>208.7</v>
      </c>
      <c r="I128" s="40">
        <v>40000</v>
      </c>
      <c r="J128" s="41">
        <f t="shared" si="5"/>
        <v>8348000</v>
      </c>
      <c r="K128" s="315"/>
      <c r="L128" s="45"/>
      <c r="M128" s="67"/>
      <c r="N128" s="67"/>
      <c r="O128" s="67"/>
    </row>
    <row r="129" spans="1:15" s="47" customFormat="1" ht="47.25" customHeight="1">
      <c r="A129" s="307">
        <v>45</v>
      </c>
      <c r="B129" s="33" t="s">
        <v>230</v>
      </c>
      <c r="C129" s="34">
        <v>210</v>
      </c>
      <c r="D129" s="34">
        <v>21</v>
      </c>
      <c r="E129" s="35">
        <v>185.9</v>
      </c>
      <c r="F129" s="34" t="s">
        <v>55</v>
      </c>
      <c r="G129" s="36" t="s">
        <v>54</v>
      </c>
      <c r="H129" s="39">
        <v>185.9</v>
      </c>
      <c r="I129" s="40">
        <v>40000</v>
      </c>
      <c r="J129" s="41">
        <f t="shared" si="5"/>
        <v>7436000</v>
      </c>
      <c r="K129" s="313">
        <f>SUM(J129:J131)</f>
        <v>18348000</v>
      </c>
      <c r="L129" s="45"/>
      <c r="M129" s="46"/>
      <c r="N129" s="46"/>
      <c r="O129" s="46"/>
    </row>
    <row r="130" spans="1:15" s="47" customFormat="1" ht="47.25" customHeight="1">
      <c r="A130" s="308"/>
      <c r="B130" s="33" t="s">
        <v>230</v>
      </c>
      <c r="C130" s="34">
        <v>69</v>
      </c>
      <c r="D130" s="34">
        <v>28</v>
      </c>
      <c r="E130" s="35">
        <v>181.7</v>
      </c>
      <c r="F130" s="34" t="s">
        <v>55</v>
      </c>
      <c r="G130" s="36" t="s">
        <v>46</v>
      </c>
      <c r="H130" s="39">
        <v>181.7</v>
      </c>
      <c r="I130" s="40">
        <v>40000</v>
      </c>
      <c r="J130" s="41">
        <f t="shared" si="5"/>
        <v>7268000</v>
      </c>
      <c r="K130" s="314"/>
      <c r="L130" s="45"/>
      <c r="M130" s="46"/>
      <c r="N130" s="46"/>
      <c r="O130" s="46"/>
    </row>
    <row r="131" spans="1:15" s="47" customFormat="1" ht="47.25" customHeight="1">
      <c r="A131" s="309"/>
      <c r="B131" s="33" t="s">
        <v>230</v>
      </c>
      <c r="C131" s="34">
        <v>28</v>
      </c>
      <c r="D131" s="34">
        <v>28</v>
      </c>
      <c r="E131" s="35">
        <v>91.1</v>
      </c>
      <c r="F131" s="34" t="s">
        <v>45</v>
      </c>
      <c r="G131" s="36" t="s">
        <v>60</v>
      </c>
      <c r="H131" s="39">
        <v>91.1</v>
      </c>
      <c r="I131" s="40">
        <v>40000</v>
      </c>
      <c r="J131" s="41">
        <f t="shared" si="5"/>
        <v>3644000</v>
      </c>
      <c r="K131" s="315"/>
      <c r="L131" s="45"/>
      <c r="M131" s="46"/>
      <c r="N131" s="46"/>
      <c r="O131" s="46"/>
    </row>
    <row r="132" spans="1:15" s="47" customFormat="1" ht="47.25" customHeight="1">
      <c r="A132" s="32">
        <v>46</v>
      </c>
      <c r="B132" s="33" t="s">
        <v>233</v>
      </c>
      <c r="C132" s="79">
        <v>85</v>
      </c>
      <c r="D132" s="79">
        <v>28</v>
      </c>
      <c r="E132" s="79">
        <v>124.7</v>
      </c>
      <c r="F132" s="79" t="s">
        <v>49</v>
      </c>
      <c r="G132" s="72" t="s">
        <v>50</v>
      </c>
      <c r="H132" s="39">
        <v>124.7</v>
      </c>
      <c r="I132" s="40">
        <v>40000</v>
      </c>
      <c r="J132" s="41">
        <f t="shared" si="5"/>
        <v>4988000</v>
      </c>
      <c r="K132" s="64">
        <f>J132</f>
        <v>4988000</v>
      </c>
      <c r="L132" s="45"/>
      <c r="M132" s="46"/>
      <c r="N132" s="46"/>
      <c r="O132" s="46"/>
    </row>
    <row r="133" spans="1:15" s="68" customFormat="1" ht="47.25" customHeight="1">
      <c r="A133" s="307">
        <v>47</v>
      </c>
      <c r="B133" s="33" t="s">
        <v>235</v>
      </c>
      <c r="C133" s="79" t="s">
        <v>236</v>
      </c>
      <c r="D133" s="79">
        <v>28</v>
      </c>
      <c r="E133" s="80">
        <v>226.7</v>
      </c>
      <c r="F133" s="79" t="s">
        <v>49</v>
      </c>
      <c r="G133" s="72" t="s">
        <v>57</v>
      </c>
      <c r="H133" s="39">
        <v>226.7</v>
      </c>
      <c r="I133" s="40">
        <v>40000</v>
      </c>
      <c r="J133" s="41">
        <f t="shared" si="5"/>
        <v>9068000</v>
      </c>
      <c r="K133" s="317">
        <f>SUM(J133:J134)</f>
        <v>17156000</v>
      </c>
      <c r="L133" s="81"/>
      <c r="M133" s="67"/>
      <c r="N133" s="67"/>
      <c r="O133" s="67"/>
    </row>
    <row r="134" spans="1:15" s="68" customFormat="1" ht="47.25" customHeight="1">
      <c r="A134" s="309"/>
      <c r="B134" s="33" t="s">
        <v>235</v>
      </c>
      <c r="C134" s="34" t="s">
        <v>238</v>
      </c>
      <c r="D134" s="34">
        <v>28</v>
      </c>
      <c r="E134" s="35">
        <v>202.2</v>
      </c>
      <c r="F134" s="34" t="s">
        <v>49</v>
      </c>
      <c r="G134" s="36" t="s">
        <v>57</v>
      </c>
      <c r="H134" s="39">
        <v>202.2</v>
      </c>
      <c r="I134" s="40">
        <v>40000</v>
      </c>
      <c r="J134" s="41">
        <f t="shared" si="5"/>
        <v>8088000</v>
      </c>
      <c r="K134" s="317"/>
      <c r="L134" s="45"/>
      <c r="M134" s="67"/>
      <c r="N134" s="67"/>
      <c r="O134" s="67"/>
    </row>
    <row r="135" spans="1:15" s="68" customFormat="1" ht="63" customHeight="1">
      <c r="A135" s="307">
        <v>48</v>
      </c>
      <c r="B135" s="33" t="s">
        <v>240</v>
      </c>
      <c r="C135" s="34">
        <v>456</v>
      </c>
      <c r="D135" s="34">
        <v>28</v>
      </c>
      <c r="E135" s="35">
        <v>217.5</v>
      </c>
      <c r="F135" s="34" t="s">
        <v>49</v>
      </c>
      <c r="G135" s="36" t="s">
        <v>57</v>
      </c>
      <c r="H135" s="39">
        <v>217.5</v>
      </c>
      <c r="I135" s="40">
        <v>40000</v>
      </c>
      <c r="J135" s="41">
        <f t="shared" si="5"/>
        <v>8700000</v>
      </c>
      <c r="K135" s="314">
        <f>SUM(J135:J137)</f>
        <v>22232000</v>
      </c>
      <c r="L135" s="45"/>
      <c r="M135" s="67"/>
      <c r="N135" s="67"/>
      <c r="O135" s="67"/>
    </row>
    <row r="136" spans="1:15" s="68" customFormat="1" ht="61.5" customHeight="1">
      <c r="A136" s="308"/>
      <c r="B136" s="33" t="s">
        <v>240</v>
      </c>
      <c r="C136" s="34">
        <v>220</v>
      </c>
      <c r="D136" s="34">
        <v>28</v>
      </c>
      <c r="E136" s="35">
        <v>175.8</v>
      </c>
      <c r="F136" s="34" t="s">
        <v>45</v>
      </c>
      <c r="G136" s="36" t="s">
        <v>242</v>
      </c>
      <c r="H136" s="39">
        <v>175.8</v>
      </c>
      <c r="I136" s="40">
        <v>40000</v>
      </c>
      <c r="J136" s="41">
        <f t="shared" si="5"/>
        <v>7032000</v>
      </c>
      <c r="K136" s="314"/>
      <c r="L136" s="81"/>
      <c r="M136" s="67"/>
      <c r="N136" s="67"/>
      <c r="O136" s="67"/>
    </row>
    <row r="137" spans="1:15" s="68" customFormat="1" ht="63" customHeight="1">
      <c r="A137" s="309"/>
      <c r="B137" s="33" t="s">
        <v>240</v>
      </c>
      <c r="C137" s="34">
        <v>277</v>
      </c>
      <c r="D137" s="34">
        <v>28</v>
      </c>
      <c r="E137" s="35">
        <v>162.5</v>
      </c>
      <c r="F137" s="34" t="s">
        <v>49</v>
      </c>
      <c r="G137" s="36" t="s">
        <v>63</v>
      </c>
      <c r="H137" s="39">
        <v>162.5</v>
      </c>
      <c r="I137" s="40">
        <v>40000</v>
      </c>
      <c r="J137" s="41">
        <f t="shared" si="5"/>
        <v>6500000</v>
      </c>
      <c r="K137" s="315"/>
      <c r="L137" s="45"/>
      <c r="M137" s="67"/>
      <c r="N137" s="67"/>
      <c r="O137" s="67"/>
    </row>
    <row r="138" spans="1:15" s="47" customFormat="1" ht="38.25" customHeight="1">
      <c r="A138" s="307">
        <v>49</v>
      </c>
      <c r="B138" s="33" t="s">
        <v>243</v>
      </c>
      <c r="C138" s="34">
        <v>89</v>
      </c>
      <c r="D138" s="34">
        <v>28</v>
      </c>
      <c r="E138" s="35">
        <v>275.3</v>
      </c>
      <c r="F138" s="34" t="s">
        <v>49</v>
      </c>
      <c r="G138" s="36" t="s">
        <v>50</v>
      </c>
      <c r="H138" s="39">
        <v>275.3</v>
      </c>
      <c r="I138" s="40">
        <v>40000</v>
      </c>
      <c r="J138" s="41">
        <f t="shared" si="5"/>
        <v>11012000</v>
      </c>
      <c r="K138" s="313">
        <f>SUM(J138:J139)</f>
        <v>16300000</v>
      </c>
      <c r="L138" s="45"/>
      <c r="M138" s="46"/>
      <c r="N138" s="46"/>
      <c r="O138" s="46"/>
    </row>
    <row r="139" spans="1:15" s="68" customFormat="1" ht="38.25" customHeight="1">
      <c r="A139" s="309"/>
      <c r="B139" s="33" t="s">
        <v>243</v>
      </c>
      <c r="C139" s="70" t="s">
        <v>245</v>
      </c>
      <c r="D139" s="48" t="s">
        <v>99</v>
      </c>
      <c r="E139" s="71">
        <v>132.19999999999999</v>
      </c>
      <c r="F139" s="34" t="s">
        <v>49</v>
      </c>
      <c r="G139" s="36" t="s">
        <v>50</v>
      </c>
      <c r="H139" s="39">
        <v>132.19999999999999</v>
      </c>
      <c r="I139" s="40">
        <v>40000</v>
      </c>
      <c r="J139" s="41">
        <f t="shared" si="5"/>
        <v>5288000</v>
      </c>
      <c r="K139" s="315"/>
      <c r="L139" s="45"/>
      <c r="M139" s="67"/>
      <c r="N139" s="67"/>
      <c r="O139" s="67"/>
    </row>
    <row r="140" spans="1:15" s="47" customFormat="1" ht="42.75" customHeight="1">
      <c r="A140" s="151">
        <v>50</v>
      </c>
      <c r="B140" s="33" t="s">
        <v>247</v>
      </c>
      <c r="C140" s="34">
        <v>529</v>
      </c>
      <c r="D140" s="34">
        <v>28</v>
      </c>
      <c r="E140" s="35">
        <v>331.3</v>
      </c>
      <c r="F140" s="34" t="s">
        <v>49</v>
      </c>
      <c r="G140" s="36" t="s">
        <v>57</v>
      </c>
      <c r="H140" s="39">
        <v>300</v>
      </c>
      <c r="I140" s="40">
        <v>40000</v>
      </c>
      <c r="J140" s="41">
        <f t="shared" ref="J140:J203" si="6">H140*I140</f>
        <v>12000000</v>
      </c>
      <c r="K140" s="54">
        <f>SUM(J140:J140)</f>
        <v>12000000</v>
      </c>
      <c r="L140" s="45"/>
      <c r="M140" s="46"/>
      <c r="N140" s="46"/>
      <c r="O140" s="46"/>
    </row>
    <row r="141" spans="1:15" s="68" customFormat="1" ht="37.5" customHeight="1">
      <c r="A141" s="307">
        <v>51</v>
      </c>
      <c r="B141" s="33" t="s">
        <v>252</v>
      </c>
      <c r="C141" s="34">
        <v>60</v>
      </c>
      <c r="D141" s="34">
        <v>28</v>
      </c>
      <c r="E141" s="35">
        <v>113.3</v>
      </c>
      <c r="F141" s="34" t="s">
        <v>55</v>
      </c>
      <c r="G141" s="36" t="s">
        <v>56</v>
      </c>
      <c r="H141" s="39">
        <v>113.3</v>
      </c>
      <c r="I141" s="40">
        <v>40000</v>
      </c>
      <c r="J141" s="41">
        <f t="shared" si="6"/>
        <v>4532000</v>
      </c>
      <c r="K141" s="313">
        <f>SUM(J141:J145)</f>
        <v>39788000</v>
      </c>
      <c r="L141" s="81"/>
      <c r="M141" s="67"/>
      <c r="N141" s="67"/>
      <c r="O141" s="67"/>
    </row>
    <row r="142" spans="1:15" s="68" customFormat="1" ht="37.5" customHeight="1">
      <c r="A142" s="308"/>
      <c r="B142" s="33" t="s">
        <v>252</v>
      </c>
      <c r="C142" s="34" t="s">
        <v>254</v>
      </c>
      <c r="D142" s="34">
        <v>28</v>
      </c>
      <c r="E142" s="35">
        <v>61.4</v>
      </c>
      <c r="F142" s="34" t="s">
        <v>45</v>
      </c>
      <c r="G142" s="36" t="s">
        <v>60</v>
      </c>
      <c r="H142" s="39">
        <v>61.4</v>
      </c>
      <c r="I142" s="40">
        <v>40000</v>
      </c>
      <c r="J142" s="41">
        <f t="shared" si="6"/>
        <v>2456000</v>
      </c>
      <c r="K142" s="314"/>
      <c r="L142" s="81"/>
      <c r="M142" s="67"/>
      <c r="N142" s="67"/>
      <c r="O142" s="67"/>
    </row>
    <row r="143" spans="1:15" s="68" customFormat="1" ht="37.5" customHeight="1">
      <c r="A143" s="308"/>
      <c r="B143" s="33" t="s">
        <v>252</v>
      </c>
      <c r="C143" s="34" t="s">
        <v>256</v>
      </c>
      <c r="D143" s="34">
        <v>28</v>
      </c>
      <c r="E143" s="35">
        <v>555.79999999999995</v>
      </c>
      <c r="F143" s="34" t="s">
        <v>45</v>
      </c>
      <c r="G143" s="36" t="s">
        <v>50</v>
      </c>
      <c r="H143" s="39">
        <v>512.70000000000005</v>
      </c>
      <c r="I143" s="40">
        <v>40000</v>
      </c>
      <c r="J143" s="41">
        <f t="shared" si="6"/>
        <v>20508000</v>
      </c>
      <c r="K143" s="314"/>
      <c r="L143" s="45"/>
      <c r="M143" s="67"/>
      <c r="N143" s="67"/>
      <c r="O143" s="67"/>
    </row>
    <row r="144" spans="1:15" s="68" customFormat="1" ht="33" customHeight="1">
      <c r="A144" s="309"/>
      <c r="B144" s="33" t="s">
        <v>252</v>
      </c>
      <c r="C144" s="34" t="s">
        <v>259</v>
      </c>
      <c r="D144" s="34">
        <v>21</v>
      </c>
      <c r="E144" s="35">
        <v>136.5</v>
      </c>
      <c r="F144" s="34" t="s">
        <v>49</v>
      </c>
      <c r="G144" s="36" t="s">
        <v>260</v>
      </c>
      <c r="H144" s="39">
        <v>31.2</v>
      </c>
      <c r="I144" s="40">
        <v>40000</v>
      </c>
      <c r="J144" s="41">
        <f t="shared" si="6"/>
        <v>1248000</v>
      </c>
      <c r="K144" s="314"/>
      <c r="L144" s="45"/>
      <c r="M144" s="67"/>
      <c r="N144" s="67"/>
      <c r="O144" s="67"/>
    </row>
    <row r="145" spans="1:15" s="68" customFormat="1" ht="42.75" customHeight="1">
      <c r="A145" s="32">
        <v>52</v>
      </c>
      <c r="B145" s="33" t="s">
        <v>263</v>
      </c>
      <c r="C145" s="34" t="s">
        <v>264</v>
      </c>
      <c r="D145" s="34">
        <v>28</v>
      </c>
      <c r="E145" s="35">
        <v>276.10000000000002</v>
      </c>
      <c r="F145" s="34" t="s">
        <v>55</v>
      </c>
      <c r="G145" s="36" t="s">
        <v>60</v>
      </c>
      <c r="H145" s="39">
        <v>276.10000000000002</v>
      </c>
      <c r="I145" s="40">
        <v>40000</v>
      </c>
      <c r="J145" s="41">
        <f t="shared" si="6"/>
        <v>11044000</v>
      </c>
      <c r="K145" s="315"/>
      <c r="L145" s="45"/>
      <c r="M145" s="67"/>
      <c r="N145" s="67"/>
      <c r="O145" s="67"/>
    </row>
    <row r="146" spans="1:15" s="47" customFormat="1" ht="42.75" customHeight="1">
      <c r="A146" s="151">
        <v>53</v>
      </c>
      <c r="B146" s="33" t="s">
        <v>265</v>
      </c>
      <c r="C146" s="34">
        <v>351</v>
      </c>
      <c r="D146" s="34">
        <v>28</v>
      </c>
      <c r="E146" s="35">
        <v>206</v>
      </c>
      <c r="F146" s="34" t="s">
        <v>49</v>
      </c>
      <c r="G146" s="36" t="s">
        <v>57</v>
      </c>
      <c r="H146" s="39">
        <v>206</v>
      </c>
      <c r="I146" s="40">
        <v>40000</v>
      </c>
      <c r="J146" s="41">
        <f t="shared" si="6"/>
        <v>8240000</v>
      </c>
      <c r="K146" s="54">
        <f>SUM(J146:J146)</f>
        <v>8240000</v>
      </c>
      <c r="L146" s="45"/>
      <c r="M146" s="46"/>
      <c r="N146" s="46"/>
      <c r="O146" s="46"/>
    </row>
    <row r="147" spans="1:15" s="47" customFormat="1" ht="42.75" customHeight="1">
      <c r="A147" s="307">
        <v>54</v>
      </c>
      <c r="B147" s="33" t="s">
        <v>267</v>
      </c>
      <c r="C147" s="34" t="s">
        <v>268</v>
      </c>
      <c r="D147" s="34">
        <v>28</v>
      </c>
      <c r="E147" s="35">
        <v>438.6</v>
      </c>
      <c r="F147" s="34" t="s">
        <v>45</v>
      </c>
      <c r="G147" s="36" t="s">
        <v>54</v>
      </c>
      <c r="H147" s="39">
        <v>438.6</v>
      </c>
      <c r="I147" s="40">
        <v>40000</v>
      </c>
      <c r="J147" s="41">
        <f t="shared" si="6"/>
        <v>17544000</v>
      </c>
      <c r="K147" s="313">
        <f>SUM(J147:J148)</f>
        <v>20428000</v>
      </c>
      <c r="L147" s="45"/>
      <c r="M147" s="46"/>
      <c r="N147" s="46"/>
      <c r="O147" s="46"/>
    </row>
    <row r="148" spans="1:15" s="47" customFormat="1" ht="42.75" customHeight="1">
      <c r="A148" s="309"/>
      <c r="B148" s="33" t="s">
        <v>267</v>
      </c>
      <c r="C148" s="34" t="s">
        <v>272</v>
      </c>
      <c r="D148" s="34">
        <v>28</v>
      </c>
      <c r="E148" s="35">
        <v>72.099999999999994</v>
      </c>
      <c r="F148" s="34" t="s">
        <v>49</v>
      </c>
      <c r="G148" s="36" t="s">
        <v>273</v>
      </c>
      <c r="H148" s="39">
        <v>72.099999999999994</v>
      </c>
      <c r="I148" s="40">
        <v>40000</v>
      </c>
      <c r="J148" s="41">
        <f t="shared" si="6"/>
        <v>2884000</v>
      </c>
      <c r="K148" s="315"/>
      <c r="L148" s="45"/>
      <c r="M148" s="46"/>
      <c r="N148" s="46"/>
      <c r="O148" s="46"/>
    </row>
    <row r="149" spans="1:15" s="47" customFormat="1" ht="42.75" customHeight="1">
      <c r="A149" s="32">
        <v>55</v>
      </c>
      <c r="B149" s="33" t="s">
        <v>275</v>
      </c>
      <c r="C149" s="34">
        <v>127</v>
      </c>
      <c r="D149" s="34">
        <v>28</v>
      </c>
      <c r="E149" s="35" t="s">
        <v>276</v>
      </c>
      <c r="F149" s="34" t="s">
        <v>55</v>
      </c>
      <c r="G149" s="36" t="s">
        <v>60</v>
      </c>
      <c r="H149" s="39">
        <v>91.2</v>
      </c>
      <c r="I149" s="40">
        <v>40000</v>
      </c>
      <c r="J149" s="41">
        <f t="shared" si="6"/>
        <v>3648000</v>
      </c>
      <c r="K149" s="64">
        <f>J149</f>
        <v>3648000</v>
      </c>
      <c r="L149" s="45"/>
      <c r="M149" s="46"/>
      <c r="N149" s="46"/>
      <c r="O149" s="46"/>
    </row>
    <row r="150" spans="1:15" s="47" customFormat="1" ht="78" customHeight="1">
      <c r="A150" s="307">
        <v>56</v>
      </c>
      <c r="B150" s="33" t="s">
        <v>277</v>
      </c>
      <c r="C150" s="34">
        <v>305</v>
      </c>
      <c r="D150" s="34">
        <v>28</v>
      </c>
      <c r="E150" s="35">
        <v>461.5</v>
      </c>
      <c r="F150" s="34" t="s">
        <v>45</v>
      </c>
      <c r="G150" s="36" t="s">
        <v>46</v>
      </c>
      <c r="H150" s="39">
        <v>461.5</v>
      </c>
      <c r="I150" s="40">
        <v>40000</v>
      </c>
      <c r="J150" s="41">
        <f t="shared" si="6"/>
        <v>18460000</v>
      </c>
      <c r="K150" s="313">
        <f>SUM(J150:J154)</f>
        <v>51432000</v>
      </c>
      <c r="L150" s="45"/>
      <c r="M150" s="46"/>
      <c r="N150" s="46"/>
      <c r="O150" s="46"/>
    </row>
    <row r="151" spans="1:15" s="47" customFormat="1" ht="81" customHeight="1">
      <c r="A151" s="309"/>
      <c r="B151" s="33" t="s">
        <v>277</v>
      </c>
      <c r="C151" s="34">
        <v>272</v>
      </c>
      <c r="D151" s="34">
        <v>28</v>
      </c>
      <c r="E151" s="35" t="s">
        <v>278</v>
      </c>
      <c r="F151" s="34" t="s">
        <v>45</v>
      </c>
      <c r="G151" s="36" t="s">
        <v>60</v>
      </c>
      <c r="H151" s="39">
        <v>78.5</v>
      </c>
      <c r="I151" s="40">
        <v>40000</v>
      </c>
      <c r="J151" s="41">
        <f t="shared" si="6"/>
        <v>3140000</v>
      </c>
      <c r="K151" s="314"/>
      <c r="L151" s="45"/>
      <c r="M151" s="46"/>
      <c r="N151" s="46"/>
      <c r="O151" s="46"/>
    </row>
    <row r="152" spans="1:15" s="47" customFormat="1" ht="44.25" customHeight="1">
      <c r="A152" s="307">
        <v>57</v>
      </c>
      <c r="B152" s="33" t="s">
        <v>279</v>
      </c>
      <c r="C152" s="34">
        <v>272</v>
      </c>
      <c r="D152" s="34">
        <v>28</v>
      </c>
      <c r="E152" s="35" t="s">
        <v>278</v>
      </c>
      <c r="F152" s="34" t="s">
        <v>45</v>
      </c>
      <c r="G152" s="36" t="s">
        <v>60</v>
      </c>
      <c r="H152" s="39">
        <v>250.5</v>
      </c>
      <c r="I152" s="40">
        <v>40000</v>
      </c>
      <c r="J152" s="41">
        <f t="shared" si="6"/>
        <v>10020000</v>
      </c>
      <c r="K152" s="314"/>
      <c r="L152" s="45"/>
      <c r="M152" s="46"/>
      <c r="N152" s="46"/>
      <c r="O152" s="46"/>
    </row>
    <row r="153" spans="1:15" s="47" customFormat="1" ht="44.25" customHeight="1">
      <c r="A153" s="308"/>
      <c r="B153" s="33" t="s">
        <v>279</v>
      </c>
      <c r="C153" s="34">
        <v>150</v>
      </c>
      <c r="D153" s="34">
        <v>28</v>
      </c>
      <c r="E153" s="35" t="s">
        <v>280</v>
      </c>
      <c r="F153" s="34" t="s">
        <v>55</v>
      </c>
      <c r="G153" s="36" t="s">
        <v>60</v>
      </c>
      <c r="H153" s="39">
        <v>144.30000000000001</v>
      </c>
      <c r="I153" s="40">
        <v>40000</v>
      </c>
      <c r="J153" s="41">
        <f t="shared" si="6"/>
        <v>5772000</v>
      </c>
      <c r="K153" s="314"/>
      <c r="L153" s="45"/>
      <c r="M153" s="46"/>
      <c r="N153" s="46"/>
      <c r="O153" s="46"/>
    </row>
    <row r="154" spans="1:15" s="47" customFormat="1" ht="44.25" customHeight="1">
      <c r="A154" s="309"/>
      <c r="B154" s="33" t="s">
        <v>279</v>
      </c>
      <c r="C154" s="34">
        <v>233</v>
      </c>
      <c r="D154" s="34">
        <v>21</v>
      </c>
      <c r="E154" s="35" t="s">
        <v>281</v>
      </c>
      <c r="F154" s="34" t="s">
        <v>45</v>
      </c>
      <c r="G154" s="36" t="s">
        <v>54</v>
      </c>
      <c r="H154" s="39">
        <v>351</v>
      </c>
      <c r="I154" s="40">
        <v>40000</v>
      </c>
      <c r="J154" s="41">
        <f t="shared" si="6"/>
        <v>14040000</v>
      </c>
      <c r="K154" s="315"/>
      <c r="L154" s="45"/>
      <c r="M154" s="46"/>
      <c r="N154" s="46"/>
      <c r="O154" s="46"/>
    </row>
    <row r="155" spans="1:15" s="47" customFormat="1" ht="41.25" customHeight="1">
      <c r="A155" s="307">
        <v>58</v>
      </c>
      <c r="B155" s="33" t="s">
        <v>282</v>
      </c>
      <c r="C155" s="34">
        <v>248</v>
      </c>
      <c r="D155" s="34">
        <v>21</v>
      </c>
      <c r="E155" s="35">
        <v>120.3</v>
      </c>
      <c r="F155" s="34" t="s">
        <v>45</v>
      </c>
      <c r="G155" s="36" t="s">
        <v>54</v>
      </c>
      <c r="H155" s="39">
        <v>120.3</v>
      </c>
      <c r="I155" s="40">
        <v>40000</v>
      </c>
      <c r="J155" s="41">
        <f t="shared" si="6"/>
        <v>4812000</v>
      </c>
      <c r="K155" s="313">
        <f>SUM(J155:J158)</f>
        <v>34460000</v>
      </c>
      <c r="L155" s="45"/>
      <c r="M155" s="46"/>
      <c r="N155" s="46"/>
      <c r="O155" s="46"/>
    </row>
    <row r="156" spans="1:15" s="47" customFormat="1" ht="41.25" customHeight="1">
      <c r="A156" s="308"/>
      <c r="B156" s="33" t="s">
        <v>282</v>
      </c>
      <c r="C156" s="34">
        <v>102</v>
      </c>
      <c r="D156" s="34">
        <v>28</v>
      </c>
      <c r="E156" s="35">
        <v>245.3</v>
      </c>
      <c r="F156" s="34" t="s">
        <v>55</v>
      </c>
      <c r="G156" s="36" t="s">
        <v>56</v>
      </c>
      <c r="H156" s="39">
        <v>245.3</v>
      </c>
      <c r="I156" s="40">
        <v>40000</v>
      </c>
      <c r="J156" s="41">
        <f t="shared" si="6"/>
        <v>9812000</v>
      </c>
      <c r="K156" s="314"/>
      <c r="L156" s="45"/>
      <c r="M156" s="46"/>
      <c r="N156" s="46"/>
      <c r="O156" s="46"/>
    </row>
    <row r="157" spans="1:15" s="47" customFormat="1" ht="41.25" customHeight="1">
      <c r="A157" s="308"/>
      <c r="B157" s="33" t="s">
        <v>282</v>
      </c>
      <c r="C157" s="34">
        <v>22</v>
      </c>
      <c r="D157" s="34">
        <v>28</v>
      </c>
      <c r="E157" s="35">
        <v>373.8</v>
      </c>
      <c r="F157" s="34" t="s">
        <v>45</v>
      </c>
      <c r="G157" s="36" t="s">
        <v>54</v>
      </c>
      <c r="H157" s="39">
        <v>373.8</v>
      </c>
      <c r="I157" s="40">
        <v>40000</v>
      </c>
      <c r="J157" s="41">
        <f t="shared" si="6"/>
        <v>14952000</v>
      </c>
      <c r="K157" s="314"/>
      <c r="L157" s="45"/>
      <c r="M157" s="46"/>
      <c r="N157" s="46"/>
      <c r="O157" s="46"/>
    </row>
    <row r="158" spans="1:15" s="47" customFormat="1" ht="41.25" customHeight="1">
      <c r="A158" s="309"/>
      <c r="B158" s="33" t="s">
        <v>282</v>
      </c>
      <c r="C158" s="34">
        <v>199</v>
      </c>
      <c r="D158" s="34">
        <v>28</v>
      </c>
      <c r="E158" s="35">
        <v>197.2</v>
      </c>
      <c r="F158" s="34" t="s">
        <v>45</v>
      </c>
      <c r="G158" s="36" t="s">
        <v>60</v>
      </c>
      <c r="H158" s="39">
        <v>122.1</v>
      </c>
      <c r="I158" s="40">
        <v>40000</v>
      </c>
      <c r="J158" s="41">
        <f t="shared" si="6"/>
        <v>4884000</v>
      </c>
      <c r="K158" s="315"/>
      <c r="L158" s="45"/>
      <c r="M158" s="46"/>
      <c r="N158" s="46"/>
      <c r="O158" s="46"/>
    </row>
    <row r="159" spans="1:15" s="68" customFormat="1" ht="44.25" customHeight="1">
      <c r="A159" s="307">
        <v>59</v>
      </c>
      <c r="B159" s="33" t="s">
        <v>286</v>
      </c>
      <c r="C159" s="34" t="s">
        <v>287</v>
      </c>
      <c r="D159" s="34">
        <v>28</v>
      </c>
      <c r="E159" s="71">
        <v>576.1</v>
      </c>
      <c r="F159" s="86" t="s">
        <v>49</v>
      </c>
      <c r="G159" s="36" t="s">
        <v>50</v>
      </c>
      <c r="H159" s="39">
        <v>76.100000000000023</v>
      </c>
      <c r="I159" s="40">
        <v>40000</v>
      </c>
      <c r="J159" s="41">
        <f t="shared" si="6"/>
        <v>3044000.0000000009</v>
      </c>
      <c r="K159" s="313">
        <f>SUM(J159:J160)</f>
        <v>10068000</v>
      </c>
      <c r="L159" s="45"/>
      <c r="M159" s="67"/>
      <c r="N159" s="67"/>
      <c r="O159" s="67"/>
    </row>
    <row r="160" spans="1:15" s="68" customFormat="1" ht="44.25" customHeight="1">
      <c r="A160" s="309"/>
      <c r="B160" s="33" t="s">
        <v>288</v>
      </c>
      <c r="C160" s="34" t="s">
        <v>289</v>
      </c>
      <c r="D160" s="34">
        <v>28</v>
      </c>
      <c r="E160" s="71">
        <v>175.6</v>
      </c>
      <c r="F160" s="86" t="s">
        <v>49</v>
      </c>
      <c r="G160" s="36" t="s">
        <v>111</v>
      </c>
      <c r="H160" s="39">
        <v>175.6</v>
      </c>
      <c r="I160" s="40">
        <v>40000</v>
      </c>
      <c r="J160" s="41">
        <f t="shared" si="6"/>
        <v>7024000</v>
      </c>
      <c r="K160" s="315"/>
      <c r="L160" s="45" t="s">
        <v>290</v>
      </c>
      <c r="M160" s="67"/>
      <c r="N160" s="67"/>
      <c r="O160" s="67"/>
    </row>
    <row r="161" spans="1:15" s="47" customFormat="1" ht="39.75" customHeight="1">
      <c r="A161" s="307">
        <v>60</v>
      </c>
      <c r="B161" s="33" t="s">
        <v>291</v>
      </c>
      <c r="C161" s="34" t="s">
        <v>292</v>
      </c>
      <c r="D161" s="87" t="s">
        <v>99</v>
      </c>
      <c r="E161" s="88">
        <v>31.9</v>
      </c>
      <c r="F161" s="89" t="s">
        <v>45</v>
      </c>
      <c r="G161" s="36" t="s">
        <v>137</v>
      </c>
      <c r="H161" s="39">
        <v>31.9</v>
      </c>
      <c r="I161" s="40">
        <v>40000</v>
      </c>
      <c r="J161" s="41">
        <f t="shared" si="6"/>
        <v>1276000</v>
      </c>
      <c r="K161" s="313">
        <f>SUM(J161:J163)</f>
        <v>17672000</v>
      </c>
      <c r="L161" s="45"/>
      <c r="M161" s="46"/>
      <c r="N161" s="46"/>
      <c r="O161" s="46"/>
    </row>
    <row r="162" spans="1:15" s="47" customFormat="1" ht="39.75" customHeight="1">
      <c r="A162" s="308"/>
      <c r="B162" s="33" t="s">
        <v>291</v>
      </c>
      <c r="C162" s="34" t="s">
        <v>293</v>
      </c>
      <c r="D162" s="87" t="s">
        <v>99</v>
      </c>
      <c r="E162" s="88">
        <v>135.6</v>
      </c>
      <c r="F162" s="89" t="s">
        <v>49</v>
      </c>
      <c r="G162" s="36" t="s">
        <v>50</v>
      </c>
      <c r="H162" s="39">
        <v>135.6</v>
      </c>
      <c r="I162" s="40">
        <v>40000</v>
      </c>
      <c r="J162" s="41">
        <f t="shared" si="6"/>
        <v>5424000</v>
      </c>
      <c r="K162" s="314"/>
      <c r="L162" s="45"/>
      <c r="M162" s="46"/>
      <c r="N162" s="46"/>
      <c r="O162" s="46"/>
    </row>
    <row r="163" spans="1:15" s="47" customFormat="1" ht="39.75" customHeight="1">
      <c r="A163" s="309"/>
      <c r="B163" s="33" t="s">
        <v>291</v>
      </c>
      <c r="C163" s="34">
        <v>32</v>
      </c>
      <c r="D163" s="87">
        <v>28</v>
      </c>
      <c r="E163" s="88">
        <v>274.3</v>
      </c>
      <c r="F163" s="89" t="s">
        <v>45</v>
      </c>
      <c r="G163" s="36" t="s">
        <v>60</v>
      </c>
      <c r="H163" s="39">
        <v>274.3</v>
      </c>
      <c r="I163" s="40">
        <v>40000</v>
      </c>
      <c r="J163" s="41">
        <f t="shared" si="6"/>
        <v>10972000</v>
      </c>
      <c r="K163" s="315"/>
      <c r="L163" s="45" t="s">
        <v>294</v>
      </c>
      <c r="M163" s="46"/>
      <c r="N163" s="46"/>
      <c r="O163" s="46"/>
    </row>
    <row r="164" spans="1:15" s="68" customFormat="1" ht="49.5" customHeight="1">
      <c r="A164" s="307">
        <v>61</v>
      </c>
      <c r="B164" s="33" t="s">
        <v>295</v>
      </c>
      <c r="C164" s="70" t="s">
        <v>296</v>
      </c>
      <c r="D164" s="48" t="s">
        <v>99</v>
      </c>
      <c r="E164" s="93">
        <v>521.70000000000005</v>
      </c>
      <c r="F164" s="34" t="s">
        <v>49</v>
      </c>
      <c r="G164" s="36" t="s">
        <v>50</v>
      </c>
      <c r="H164" s="39">
        <v>153.30000000000001</v>
      </c>
      <c r="I164" s="40">
        <v>40000</v>
      </c>
      <c r="J164" s="41">
        <f t="shared" si="6"/>
        <v>6132000</v>
      </c>
      <c r="K164" s="313">
        <f>SUM(J164:J167)</f>
        <v>19232000</v>
      </c>
      <c r="L164" s="45"/>
      <c r="M164" s="67"/>
      <c r="N164" s="67"/>
      <c r="O164" s="67"/>
    </row>
    <row r="165" spans="1:15" s="47" customFormat="1" ht="49.5" customHeight="1">
      <c r="A165" s="308"/>
      <c r="B165" s="33" t="s">
        <v>295</v>
      </c>
      <c r="C165" s="34" t="s">
        <v>299</v>
      </c>
      <c r="D165" s="34" t="s">
        <v>99</v>
      </c>
      <c r="E165" s="35">
        <v>170.5</v>
      </c>
      <c r="F165" s="34" t="s">
        <v>49</v>
      </c>
      <c r="G165" s="36" t="s">
        <v>50</v>
      </c>
      <c r="H165" s="39">
        <v>170.5</v>
      </c>
      <c r="I165" s="40">
        <v>40000</v>
      </c>
      <c r="J165" s="41">
        <f t="shared" si="6"/>
        <v>6820000</v>
      </c>
      <c r="K165" s="314"/>
      <c r="L165" s="45"/>
      <c r="M165" s="46"/>
      <c r="N165" s="46"/>
      <c r="O165" s="46"/>
    </row>
    <row r="166" spans="1:15" s="47" customFormat="1" ht="49.5" customHeight="1">
      <c r="A166" s="308"/>
      <c r="B166" s="33" t="s">
        <v>295</v>
      </c>
      <c r="C166" s="34" t="s">
        <v>301</v>
      </c>
      <c r="D166" s="34" t="s">
        <v>99</v>
      </c>
      <c r="E166" s="35">
        <v>77.900000000000006</v>
      </c>
      <c r="F166" s="34" t="s">
        <v>49</v>
      </c>
      <c r="G166" s="36" t="s">
        <v>46</v>
      </c>
      <c r="H166" s="39">
        <v>77.900000000000006</v>
      </c>
      <c r="I166" s="40">
        <v>40000</v>
      </c>
      <c r="J166" s="41">
        <f t="shared" si="6"/>
        <v>3116000</v>
      </c>
      <c r="K166" s="314"/>
      <c r="L166" s="45"/>
      <c r="M166" s="46"/>
      <c r="N166" s="46"/>
      <c r="O166" s="46"/>
    </row>
    <row r="167" spans="1:15" s="47" customFormat="1" ht="49.5" customHeight="1">
      <c r="A167" s="308"/>
      <c r="B167" s="33" t="s">
        <v>295</v>
      </c>
      <c r="C167" s="34">
        <v>285</v>
      </c>
      <c r="D167" s="34">
        <v>28</v>
      </c>
      <c r="E167" s="35">
        <v>79.099999999999994</v>
      </c>
      <c r="F167" s="34" t="s">
        <v>49</v>
      </c>
      <c r="G167" s="36" t="s">
        <v>50</v>
      </c>
      <c r="H167" s="39">
        <v>79.099999999999994</v>
      </c>
      <c r="I167" s="40">
        <v>40000</v>
      </c>
      <c r="J167" s="41">
        <f t="shared" si="6"/>
        <v>3164000</v>
      </c>
      <c r="K167" s="314"/>
      <c r="L167" s="45"/>
      <c r="M167" s="46"/>
      <c r="N167" s="46"/>
      <c r="O167" s="46"/>
    </row>
    <row r="168" spans="1:15" s="47" customFormat="1" ht="49.5" customHeight="1">
      <c r="A168" s="307">
        <v>62</v>
      </c>
      <c r="B168" s="33" t="s">
        <v>302</v>
      </c>
      <c r="C168" s="34">
        <v>529</v>
      </c>
      <c r="D168" s="34" t="s">
        <v>99</v>
      </c>
      <c r="E168" s="35">
        <v>331.3</v>
      </c>
      <c r="F168" s="34" t="s">
        <v>49</v>
      </c>
      <c r="G168" s="36" t="s">
        <v>57</v>
      </c>
      <c r="H168" s="39">
        <v>31.3</v>
      </c>
      <c r="I168" s="40">
        <v>40000</v>
      </c>
      <c r="J168" s="41">
        <f t="shared" si="6"/>
        <v>1252000</v>
      </c>
      <c r="K168" s="313">
        <f>SUM(J168:J173)</f>
        <v>45912000</v>
      </c>
      <c r="L168" s="45"/>
      <c r="M168" s="46"/>
      <c r="N168" s="46"/>
      <c r="O168" s="46"/>
    </row>
    <row r="169" spans="1:15" s="47" customFormat="1" ht="49.5" customHeight="1">
      <c r="A169" s="308"/>
      <c r="B169" s="33" t="s">
        <v>302</v>
      </c>
      <c r="C169" s="34" t="s">
        <v>304</v>
      </c>
      <c r="D169" s="34" t="s">
        <v>99</v>
      </c>
      <c r="E169" s="35">
        <v>228</v>
      </c>
      <c r="F169" s="34" t="s">
        <v>49</v>
      </c>
      <c r="G169" s="36" t="s">
        <v>57</v>
      </c>
      <c r="H169" s="39">
        <v>228</v>
      </c>
      <c r="I169" s="40">
        <v>40000</v>
      </c>
      <c r="J169" s="41">
        <f t="shared" si="6"/>
        <v>9120000</v>
      </c>
      <c r="K169" s="314"/>
      <c r="L169" s="45"/>
      <c r="M169" s="46"/>
      <c r="N169" s="46"/>
      <c r="O169" s="46"/>
    </row>
    <row r="170" spans="1:15" s="47" customFormat="1" ht="49.5" customHeight="1">
      <c r="A170" s="308"/>
      <c r="B170" s="33" t="s">
        <v>302</v>
      </c>
      <c r="C170" s="34" t="s">
        <v>306</v>
      </c>
      <c r="D170" s="34" t="s">
        <v>99</v>
      </c>
      <c r="E170" s="35">
        <v>250.9</v>
      </c>
      <c r="F170" s="34" t="s">
        <v>49</v>
      </c>
      <c r="G170" s="36" t="s">
        <v>50</v>
      </c>
      <c r="H170" s="39">
        <v>250.9</v>
      </c>
      <c r="I170" s="40">
        <v>40000</v>
      </c>
      <c r="J170" s="41">
        <f t="shared" si="6"/>
        <v>10036000</v>
      </c>
      <c r="K170" s="314"/>
      <c r="L170" s="45"/>
      <c r="M170" s="46"/>
      <c r="N170" s="46"/>
      <c r="O170" s="46"/>
    </row>
    <row r="171" spans="1:15" s="47" customFormat="1" ht="49.5" customHeight="1">
      <c r="A171" s="308"/>
      <c r="B171" s="33" t="s">
        <v>302</v>
      </c>
      <c r="C171" s="34" t="s">
        <v>307</v>
      </c>
      <c r="D171" s="34" t="s">
        <v>96</v>
      </c>
      <c r="E171" s="35">
        <v>256.7</v>
      </c>
      <c r="F171" s="34" t="s">
        <v>45</v>
      </c>
      <c r="G171" s="36" t="s">
        <v>54</v>
      </c>
      <c r="H171" s="39">
        <v>256.7</v>
      </c>
      <c r="I171" s="40">
        <v>40000</v>
      </c>
      <c r="J171" s="41">
        <f t="shared" si="6"/>
        <v>10268000</v>
      </c>
      <c r="K171" s="314"/>
      <c r="L171" s="45"/>
      <c r="M171" s="46"/>
      <c r="N171" s="46"/>
      <c r="O171" s="46"/>
    </row>
    <row r="172" spans="1:15" s="47" customFormat="1" ht="49.5" customHeight="1">
      <c r="A172" s="308"/>
      <c r="B172" s="33" t="s">
        <v>302</v>
      </c>
      <c r="C172" s="34" t="s">
        <v>308</v>
      </c>
      <c r="D172" s="34" t="s">
        <v>99</v>
      </c>
      <c r="E172" s="35">
        <v>187.2</v>
      </c>
      <c r="F172" s="34" t="s">
        <v>55</v>
      </c>
      <c r="G172" s="36" t="s">
        <v>60</v>
      </c>
      <c r="H172" s="39">
        <v>187.2</v>
      </c>
      <c r="I172" s="40">
        <v>40000</v>
      </c>
      <c r="J172" s="41">
        <f t="shared" si="6"/>
        <v>7488000</v>
      </c>
      <c r="K172" s="314"/>
      <c r="L172" s="45"/>
      <c r="M172" s="46"/>
      <c r="N172" s="46"/>
      <c r="O172" s="46"/>
    </row>
    <row r="173" spans="1:15" s="47" customFormat="1" ht="49.5" customHeight="1">
      <c r="A173" s="309"/>
      <c r="B173" s="33" t="s">
        <v>302</v>
      </c>
      <c r="C173" s="34" t="s">
        <v>309</v>
      </c>
      <c r="D173" s="34" t="s">
        <v>99</v>
      </c>
      <c r="E173" s="35">
        <v>193.7</v>
      </c>
      <c r="F173" s="34" t="s">
        <v>49</v>
      </c>
      <c r="G173" s="36" t="s">
        <v>111</v>
      </c>
      <c r="H173" s="39">
        <v>193.7</v>
      </c>
      <c r="I173" s="40">
        <v>40000</v>
      </c>
      <c r="J173" s="41">
        <f t="shared" si="6"/>
        <v>7748000</v>
      </c>
      <c r="K173" s="315"/>
      <c r="L173" s="45"/>
      <c r="M173" s="46"/>
      <c r="N173" s="46"/>
      <c r="O173" s="46"/>
    </row>
    <row r="174" spans="1:15" s="68" customFormat="1" ht="52.5" customHeight="1">
      <c r="A174" s="307">
        <v>63</v>
      </c>
      <c r="B174" s="33" t="s">
        <v>311</v>
      </c>
      <c r="C174" s="34" t="s">
        <v>312</v>
      </c>
      <c r="D174" s="34" t="s">
        <v>99</v>
      </c>
      <c r="E174" s="35">
        <v>715.9</v>
      </c>
      <c r="F174" s="34" t="s">
        <v>45</v>
      </c>
      <c r="G174" s="36" t="s">
        <v>60</v>
      </c>
      <c r="H174" s="39">
        <v>188.1</v>
      </c>
      <c r="I174" s="40">
        <v>40000</v>
      </c>
      <c r="J174" s="41">
        <f t="shared" si="6"/>
        <v>7524000</v>
      </c>
      <c r="K174" s="313">
        <f>SUM(J174:J177)</f>
        <v>50500000</v>
      </c>
      <c r="L174" s="45"/>
      <c r="M174" s="67"/>
      <c r="N174" s="67"/>
      <c r="O174" s="67"/>
    </row>
    <row r="175" spans="1:15" s="68" customFormat="1" ht="52.5" customHeight="1">
      <c r="A175" s="308"/>
      <c r="B175" s="33" t="s">
        <v>311</v>
      </c>
      <c r="C175" s="34">
        <v>66</v>
      </c>
      <c r="D175" s="34">
        <v>28</v>
      </c>
      <c r="E175" s="35">
        <v>1220.9000000000001</v>
      </c>
      <c r="F175" s="34" t="s">
        <v>49</v>
      </c>
      <c r="G175" s="36" t="s">
        <v>57</v>
      </c>
      <c r="H175" s="39">
        <v>360.5</v>
      </c>
      <c r="I175" s="40">
        <v>40000</v>
      </c>
      <c r="J175" s="41">
        <f t="shared" si="6"/>
        <v>14420000</v>
      </c>
      <c r="K175" s="314"/>
      <c r="L175" s="45"/>
      <c r="M175" s="67"/>
      <c r="N175" s="67"/>
      <c r="O175" s="67"/>
    </row>
    <row r="176" spans="1:15" s="68" customFormat="1" ht="52.5" customHeight="1">
      <c r="A176" s="308"/>
      <c r="B176" s="33" t="s">
        <v>311</v>
      </c>
      <c r="C176" s="34" t="s">
        <v>313</v>
      </c>
      <c r="D176" s="34" t="s">
        <v>99</v>
      </c>
      <c r="E176" s="35">
        <v>201.9</v>
      </c>
      <c r="F176" s="34" t="s">
        <v>49</v>
      </c>
      <c r="G176" s="36" t="s">
        <v>57</v>
      </c>
      <c r="H176" s="39">
        <v>201.9</v>
      </c>
      <c r="I176" s="40">
        <v>40000</v>
      </c>
      <c r="J176" s="41">
        <f t="shared" si="6"/>
        <v>8076000</v>
      </c>
      <c r="K176" s="314"/>
      <c r="L176" s="45"/>
      <c r="M176" s="67"/>
      <c r="N176" s="67"/>
      <c r="O176" s="67"/>
    </row>
    <row r="177" spans="1:15" s="68" customFormat="1" ht="52.5" customHeight="1">
      <c r="A177" s="309"/>
      <c r="B177" s="33" t="s">
        <v>311</v>
      </c>
      <c r="C177" s="34" t="s">
        <v>314</v>
      </c>
      <c r="D177" s="34" t="s">
        <v>96</v>
      </c>
      <c r="E177" s="35">
        <v>512</v>
      </c>
      <c r="F177" s="34" t="s">
        <v>45</v>
      </c>
      <c r="G177" s="36" t="s">
        <v>56</v>
      </c>
      <c r="H177" s="39">
        <v>512</v>
      </c>
      <c r="I177" s="40">
        <v>40000</v>
      </c>
      <c r="J177" s="41">
        <f t="shared" si="6"/>
        <v>20480000</v>
      </c>
      <c r="K177" s="315"/>
      <c r="L177" s="45"/>
      <c r="M177" s="67"/>
      <c r="N177" s="67"/>
      <c r="O177" s="67"/>
    </row>
    <row r="178" spans="1:15" s="68" customFormat="1" ht="52.5" customHeight="1">
      <c r="A178" s="307">
        <v>64</v>
      </c>
      <c r="B178" s="33" t="s">
        <v>316</v>
      </c>
      <c r="C178" s="34" t="s">
        <v>317</v>
      </c>
      <c r="D178" s="34" t="s">
        <v>99</v>
      </c>
      <c r="E178" s="35">
        <v>159.1</v>
      </c>
      <c r="F178" s="34" t="s">
        <v>49</v>
      </c>
      <c r="G178" s="36" t="s">
        <v>50</v>
      </c>
      <c r="H178" s="39">
        <v>159.1</v>
      </c>
      <c r="I178" s="40">
        <v>40000</v>
      </c>
      <c r="J178" s="41">
        <f t="shared" si="6"/>
        <v>6364000</v>
      </c>
      <c r="K178" s="313">
        <f>SUM(J178:J182)</f>
        <v>50348000</v>
      </c>
      <c r="L178" s="45"/>
      <c r="M178" s="67"/>
      <c r="N178" s="67"/>
      <c r="O178" s="67"/>
    </row>
    <row r="179" spans="1:15" s="68" customFormat="1" ht="52.5" customHeight="1">
      <c r="A179" s="308"/>
      <c r="B179" s="33" t="s">
        <v>316</v>
      </c>
      <c r="C179" s="34" t="s">
        <v>318</v>
      </c>
      <c r="D179" s="34" t="s">
        <v>99</v>
      </c>
      <c r="E179" s="35">
        <v>790.6</v>
      </c>
      <c r="F179" s="34" t="s">
        <v>45</v>
      </c>
      <c r="G179" s="36" t="s">
        <v>60</v>
      </c>
      <c r="H179" s="39">
        <v>790.6</v>
      </c>
      <c r="I179" s="40">
        <v>40000</v>
      </c>
      <c r="J179" s="41">
        <f t="shared" si="6"/>
        <v>31624000</v>
      </c>
      <c r="K179" s="314"/>
      <c r="L179" s="45"/>
      <c r="M179" s="67"/>
      <c r="N179" s="67"/>
      <c r="O179" s="67"/>
    </row>
    <row r="180" spans="1:15" s="68" customFormat="1" ht="52.5" customHeight="1">
      <c r="A180" s="308"/>
      <c r="B180" s="33" t="s">
        <v>316</v>
      </c>
      <c r="C180" s="34">
        <v>199</v>
      </c>
      <c r="D180" s="34">
        <v>28</v>
      </c>
      <c r="E180" s="35">
        <v>197.2</v>
      </c>
      <c r="F180" s="34" t="s">
        <v>45</v>
      </c>
      <c r="G180" s="36" t="s">
        <v>60</v>
      </c>
      <c r="H180" s="39">
        <v>70.400000000000006</v>
      </c>
      <c r="I180" s="40">
        <v>40000</v>
      </c>
      <c r="J180" s="41">
        <f t="shared" si="6"/>
        <v>2816000</v>
      </c>
      <c r="K180" s="314"/>
      <c r="L180" s="45"/>
      <c r="M180" s="67"/>
      <c r="N180" s="67"/>
      <c r="O180" s="67"/>
    </row>
    <row r="181" spans="1:15" s="68" customFormat="1" ht="52.5" customHeight="1">
      <c r="A181" s="308"/>
      <c r="B181" s="33" t="s">
        <v>316</v>
      </c>
      <c r="C181" s="34" t="s">
        <v>319</v>
      </c>
      <c r="D181" s="34" t="s">
        <v>99</v>
      </c>
      <c r="E181" s="35">
        <v>211</v>
      </c>
      <c r="F181" s="34" t="s">
        <v>49</v>
      </c>
      <c r="G181" s="36" t="s">
        <v>111</v>
      </c>
      <c r="H181" s="39">
        <v>211</v>
      </c>
      <c r="I181" s="40">
        <v>40000</v>
      </c>
      <c r="J181" s="41">
        <f t="shared" si="6"/>
        <v>8440000</v>
      </c>
      <c r="K181" s="314"/>
      <c r="L181" s="45"/>
      <c r="M181" s="67"/>
      <c r="N181" s="67"/>
      <c r="O181" s="67"/>
    </row>
    <row r="182" spans="1:15" s="68" customFormat="1" ht="52.5" customHeight="1">
      <c r="A182" s="309"/>
      <c r="B182" s="33" t="s">
        <v>316</v>
      </c>
      <c r="C182" s="34">
        <v>349</v>
      </c>
      <c r="D182" s="34">
        <v>28</v>
      </c>
      <c r="E182" s="35">
        <v>27.6</v>
      </c>
      <c r="F182" s="34" t="s">
        <v>49</v>
      </c>
      <c r="G182" s="36" t="s">
        <v>111</v>
      </c>
      <c r="H182" s="39">
        <v>27.6</v>
      </c>
      <c r="I182" s="40">
        <v>40000</v>
      </c>
      <c r="J182" s="41">
        <f t="shared" si="6"/>
        <v>1104000</v>
      </c>
      <c r="K182" s="315"/>
      <c r="L182" s="45"/>
      <c r="M182" s="67"/>
      <c r="N182" s="67"/>
      <c r="O182" s="67"/>
    </row>
    <row r="183" spans="1:15" s="68" customFormat="1" ht="52.5" customHeight="1">
      <c r="A183" s="307">
        <v>65</v>
      </c>
      <c r="B183" s="33" t="s">
        <v>320</v>
      </c>
      <c r="C183" s="34" t="s">
        <v>321</v>
      </c>
      <c r="D183" s="34" t="s">
        <v>99</v>
      </c>
      <c r="E183" s="35">
        <v>785.6</v>
      </c>
      <c r="F183" s="34" t="s">
        <v>45</v>
      </c>
      <c r="G183" s="36" t="s">
        <v>60</v>
      </c>
      <c r="H183" s="39">
        <v>785.6</v>
      </c>
      <c r="I183" s="40">
        <v>40000</v>
      </c>
      <c r="J183" s="41">
        <f t="shared" si="6"/>
        <v>31424000</v>
      </c>
      <c r="K183" s="313">
        <f>SUM(J183:J184)</f>
        <v>36280000</v>
      </c>
      <c r="L183" s="45"/>
      <c r="M183" s="67"/>
      <c r="N183" s="67"/>
      <c r="O183" s="67"/>
    </row>
    <row r="184" spans="1:15" s="68" customFormat="1" ht="52.5" customHeight="1">
      <c r="A184" s="308"/>
      <c r="B184" s="33" t="s">
        <v>320</v>
      </c>
      <c r="C184" s="34" t="s">
        <v>322</v>
      </c>
      <c r="D184" s="34" t="s">
        <v>99</v>
      </c>
      <c r="E184" s="35">
        <v>121.4</v>
      </c>
      <c r="F184" s="34" t="s">
        <v>55</v>
      </c>
      <c r="G184" s="36" t="s">
        <v>60</v>
      </c>
      <c r="H184" s="39">
        <v>121.4</v>
      </c>
      <c r="I184" s="40">
        <v>40000</v>
      </c>
      <c r="J184" s="41">
        <f t="shared" si="6"/>
        <v>4856000</v>
      </c>
      <c r="K184" s="314"/>
      <c r="L184" s="45"/>
      <c r="M184" s="67"/>
      <c r="N184" s="67"/>
      <c r="O184" s="67"/>
    </row>
    <row r="185" spans="1:15" s="68" customFormat="1" ht="52.5" customHeight="1">
      <c r="A185" s="307">
        <v>66</v>
      </c>
      <c r="B185" s="33" t="s">
        <v>323</v>
      </c>
      <c r="C185" s="34" t="s">
        <v>324</v>
      </c>
      <c r="D185" s="34" t="s">
        <v>99</v>
      </c>
      <c r="E185" s="35">
        <v>1220.9000000000001</v>
      </c>
      <c r="F185" s="34" t="s">
        <v>45</v>
      </c>
      <c r="G185" s="36" t="s">
        <v>60</v>
      </c>
      <c r="H185" s="39">
        <v>860.4</v>
      </c>
      <c r="I185" s="40">
        <v>40000</v>
      </c>
      <c r="J185" s="41">
        <f t="shared" si="6"/>
        <v>34416000</v>
      </c>
      <c r="K185" s="313">
        <f>SUM(J185:J186)</f>
        <v>36336000</v>
      </c>
      <c r="L185" s="45"/>
      <c r="M185" s="67"/>
      <c r="N185" s="67"/>
      <c r="O185" s="67"/>
    </row>
    <row r="186" spans="1:15" s="68" customFormat="1" ht="52.5" customHeight="1">
      <c r="A186" s="309"/>
      <c r="B186" s="33" t="s">
        <v>325</v>
      </c>
      <c r="C186" s="34">
        <v>124</v>
      </c>
      <c r="D186" s="34" t="s">
        <v>99</v>
      </c>
      <c r="E186" s="35">
        <v>261.89999999999998</v>
      </c>
      <c r="F186" s="34" t="s">
        <v>55</v>
      </c>
      <c r="G186" s="36" t="s">
        <v>60</v>
      </c>
      <c r="H186" s="39">
        <v>48</v>
      </c>
      <c r="I186" s="40">
        <v>40000</v>
      </c>
      <c r="J186" s="41">
        <f t="shared" si="6"/>
        <v>1920000</v>
      </c>
      <c r="K186" s="315"/>
      <c r="L186" s="45"/>
      <c r="M186" s="67"/>
      <c r="N186" s="67"/>
      <c r="O186" s="67"/>
    </row>
    <row r="187" spans="1:15" s="155" customFormat="1" ht="52.5" customHeight="1">
      <c r="A187" s="307">
        <v>67</v>
      </c>
      <c r="B187" s="33" t="s">
        <v>326</v>
      </c>
      <c r="C187" s="34">
        <v>208</v>
      </c>
      <c r="D187" s="34" t="s">
        <v>96</v>
      </c>
      <c r="E187" s="35">
        <v>200.3</v>
      </c>
      <c r="F187" s="34" t="s">
        <v>45</v>
      </c>
      <c r="G187" s="36" t="s">
        <v>56</v>
      </c>
      <c r="H187" s="39">
        <v>65.599999999999994</v>
      </c>
      <c r="I187" s="40">
        <v>40000</v>
      </c>
      <c r="J187" s="41">
        <f t="shared" si="6"/>
        <v>2624000</v>
      </c>
      <c r="K187" s="313">
        <f>SUM(J187:J192)</f>
        <v>33228000</v>
      </c>
      <c r="L187" s="45"/>
      <c r="M187" s="154"/>
      <c r="N187" s="154"/>
      <c r="O187" s="154"/>
    </row>
    <row r="188" spans="1:15" s="155" customFormat="1" ht="52.5" customHeight="1">
      <c r="A188" s="308"/>
      <c r="B188" s="33" t="s">
        <v>326</v>
      </c>
      <c r="C188" s="34" t="s">
        <v>330</v>
      </c>
      <c r="D188" s="34" t="s">
        <v>99</v>
      </c>
      <c r="E188" s="35">
        <v>145.80000000000001</v>
      </c>
      <c r="F188" s="34" t="s">
        <v>55</v>
      </c>
      <c r="G188" s="36" t="s">
        <v>56</v>
      </c>
      <c r="H188" s="39">
        <v>145.80000000000001</v>
      </c>
      <c r="I188" s="40">
        <v>40000</v>
      </c>
      <c r="J188" s="41">
        <f t="shared" si="6"/>
        <v>5832000</v>
      </c>
      <c r="K188" s="314"/>
      <c r="L188" s="45"/>
      <c r="M188" s="154"/>
      <c r="N188" s="154"/>
      <c r="O188" s="154"/>
    </row>
    <row r="189" spans="1:15" s="155" customFormat="1" ht="52.5" customHeight="1">
      <c r="A189" s="308"/>
      <c r="B189" s="33" t="s">
        <v>326</v>
      </c>
      <c r="C189" s="34" t="s">
        <v>332</v>
      </c>
      <c r="D189" s="34" t="s">
        <v>99</v>
      </c>
      <c r="E189" s="35">
        <v>384.2</v>
      </c>
      <c r="F189" s="34" t="s">
        <v>45</v>
      </c>
      <c r="G189" s="36" t="s">
        <v>60</v>
      </c>
      <c r="H189" s="39">
        <v>309.7</v>
      </c>
      <c r="I189" s="40">
        <v>40000</v>
      </c>
      <c r="J189" s="41">
        <f t="shared" si="6"/>
        <v>12388000</v>
      </c>
      <c r="K189" s="314"/>
      <c r="L189" s="45"/>
      <c r="M189" s="154"/>
      <c r="N189" s="154"/>
      <c r="O189" s="154"/>
    </row>
    <row r="190" spans="1:15" s="155" customFormat="1" ht="52.5" customHeight="1">
      <c r="A190" s="308"/>
      <c r="B190" s="33" t="s">
        <v>326</v>
      </c>
      <c r="C190" s="34">
        <v>225</v>
      </c>
      <c r="D190" s="34" t="s">
        <v>99</v>
      </c>
      <c r="E190" s="35">
        <v>567.79999999999995</v>
      </c>
      <c r="F190" s="34" t="s">
        <v>45</v>
      </c>
      <c r="G190" s="36" t="s">
        <v>60</v>
      </c>
      <c r="H190" s="39">
        <v>61.700000000000017</v>
      </c>
      <c r="I190" s="40">
        <v>40000</v>
      </c>
      <c r="J190" s="41">
        <f t="shared" si="6"/>
        <v>2468000.0000000005</v>
      </c>
      <c r="K190" s="314"/>
      <c r="L190" s="45"/>
      <c r="M190" s="154"/>
      <c r="N190" s="154"/>
      <c r="O190" s="154"/>
    </row>
    <row r="191" spans="1:15" s="155" customFormat="1" ht="52.5" customHeight="1">
      <c r="A191" s="308"/>
      <c r="B191" s="33" t="s">
        <v>326</v>
      </c>
      <c r="C191" s="34" t="s">
        <v>333</v>
      </c>
      <c r="D191" s="34" t="s">
        <v>99</v>
      </c>
      <c r="E191" s="35">
        <v>129.5</v>
      </c>
      <c r="F191" s="34" t="s">
        <v>49</v>
      </c>
      <c r="G191" s="36" t="s">
        <v>50</v>
      </c>
      <c r="H191" s="39">
        <v>129.5</v>
      </c>
      <c r="I191" s="40">
        <v>40000</v>
      </c>
      <c r="J191" s="41">
        <f t="shared" si="6"/>
        <v>5180000</v>
      </c>
      <c r="K191" s="314"/>
      <c r="L191" s="45"/>
      <c r="M191" s="154"/>
      <c r="N191" s="154"/>
      <c r="O191" s="154"/>
    </row>
    <row r="192" spans="1:15" s="155" customFormat="1" ht="52.5" customHeight="1">
      <c r="A192" s="309"/>
      <c r="B192" s="33" t="s">
        <v>326</v>
      </c>
      <c r="C192" s="34">
        <v>65</v>
      </c>
      <c r="D192" s="34">
        <v>28</v>
      </c>
      <c r="E192" s="35">
        <v>118.4</v>
      </c>
      <c r="F192" s="34" t="s">
        <v>55</v>
      </c>
      <c r="G192" s="36" t="s">
        <v>56</v>
      </c>
      <c r="H192" s="39">
        <v>118.4</v>
      </c>
      <c r="I192" s="40">
        <v>40000</v>
      </c>
      <c r="J192" s="41">
        <f t="shared" si="6"/>
        <v>4736000</v>
      </c>
      <c r="K192" s="315"/>
      <c r="L192" s="45"/>
      <c r="M192" s="154"/>
      <c r="N192" s="154"/>
      <c r="O192" s="154"/>
    </row>
    <row r="193" spans="1:15" s="47" customFormat="1" ht="52.5" customHeight="1">
      <c r="A193" s="307">
        <v>68</v>
      </c>
      <c r="B193" s="33" t="s">
        <v>335</v>
      </c>
      <c r="C193" s="34">
        <v>18</v>
      </c>
      <c r="D193" s="34" t="s">
        <v>99</v>
      </c>
      <c r="E193" s="35">
        <v>286</v>
      </c>
      <c r="F193" s="34" t="s">
        <v>45</v>
      </c>
      <c r="G193" s="36" t="s">
        <v>54</v>
      </c>
      <c r="H193" s="39">
        <v>286</v>
      </c>
      <c r="I193" s="40">
        <v>40000</v>
      </c>
      <c r="J193" s="41">
        <f t="shared" si="6"/>
        <v>11440000</v>
      </c>
      <c r="K193" s="313">
        <f>SUM(J193:J197)</f>
        <v>50496000</v>
      </c>
      <c r="L193" s="45"/>
      <c r="M193" s="46"/>
      <c r="N193" s="46"/>
      <c r="O193" s="46"/>
    </row>
    <row r="194" spans="1:15" s="47" customFormat="1" ht="52.5" customHeight="1">
      <c r="A194" s="308"/>
      <c r="B194" s="33" t="s">
        <v>335</v>
      </c>
      <c r="C194" s="34" t="s">
        <v>336</v>
      </c>
      <c r="D194" s="34" t="s">
        <v>99</v>
      </c>
      <c r="E194" s="35">
        <v>199.3</v>
      </c>
      <c r="F194" s="34" t="s">
        <v>49</v>
      </c>
      <c r="G194" s="36" t="s">
        <v>74</v>
      </c>
      <c r="H194" s="39">
        <v>199.3</v>
      </c>
      <c r="I194" s="40">
        <v>40000</v>
      </c>
      <c r="J194" s="41">
        <f t="shared" si="6"/>
        <v>7972000</v>
      </c>
      <c r="K194" s="314"/>
      <c r="L194" s="45"/>
      <c r="M194" s="46"/>
      <c r="N194" s="46"/>
      <c r="O194" s="46"/>
    </row>
    <row r="195" spans="1:15" s="47" customFormat="1" ht="52.5" customHeight="1">
      <c r="A195" s="308"/>
      <c r="B195" s="33" t="s">
        <v>335</v>
      </c>
      <c r="C195" s="34" t="s">
        <v>337</v>
      </c>
      <c r="D195" s="34" t="s">
        <v>99</v>
      </c>
      <c r="E195" s="35">
        <v>77.3</v>
      </c>
      <c r="F195" s="34" t="s">
        <v>45</v>
      </c>
      <c r="G195" s="36" t="s">
        <v>60</v>
      </c>
      <c r="H195" s="39">
        <v>77.3</v>
      </c>
      <c r="I195" s="40">
        <v>40000</v>
      </c>
      <c r="J195" s="41">
        <f t="shared" si="6"/>
        <v>3092000</v>
      </c>
      <c r="K195" s="314"/>
      <c r="L195" s="45"/>
      <c r="M195" s="46"/>
      <c r="N195" s="46"/>
      <c r="O195" s="46"/>
    </row>
    <row r="196" spans="1:15" s="47" customFormat="1" ht="52.5" customHeight="1">
      <c r="A196" s="308"/>
      <c r="B196" s="33" t="s">
        <v>335</v>
      </c>
      <c r="C196" s="34" t="s">
        <v>338</v>
      </c>
      <c r="D196" s="34" t="s">
        <v>99</v>
      </c>
      <c r="E196" s="35">
        <v>526.20000000000005</v>
      </c>
      <c r="F196" s="34" t="s">
        <v>45</v>
      </c>
      <c r="G196" s="36" t="s">
        <v>60</v>
      </c>
      <c r="H196" s="39">
        <v>526.20000000000005</v>
      </c>
      <c r="I196" s="40">
        <v>40000</v>
      </c>
      <c r="J196" s="41">
        <f t="shared" si="6"/>
        <v>21048000</v>
      </c>
      <c r="K196" s="314"/>
      <c r="L196" s="81"/>
      <c r="M196" s="46"/>
      <c r="N196" s="46"/>
      <c r="O196" s="46"/>
    </row>
    <row r="197" spans="1:15" s="47" customFormat="1" ht="47.25" customHeight="1">
      <c r="A197" s="309"/>
      <c r="B197" s="33" t="s">
        <v>335</v>
      </c>
      <c r="C197" s="34" t="s">
        <v>339</v>
      </c>
      <c r="D197" s="34" t="s">
        <v>99</v>
      </c>
      <c r="E197" s="35">
        <v>173.6</v>
      </c>
      <c r="F197" s="34" t="s">
        <v>45</v>
      </c>
      <c r="G197" s="36" t="s">
        <v>60</v>
      </c>
      <c r="H197" s="39">
        <v>173.6</v>
      </c>
      <c r="I197" s="40">
        <v>40000</v>
      </c>
      <c r="J197" s="41">
        <f t="shared" si="6"/>
        <v>6944000</v>
      </c>
      <c r="K197" s="315"/>
      <c r="L197" s="81"/>
      <c r="M197" s="46"/>
      <c r="N197" s="46"/>
      <c r="O197" s="46"/>
    </row>
    <row r="198" spans="1:15" s="47" customFormat="1" ht="47.25" customHeight="1">
      <c r="A198" s="32">
        <v>69</v>
      </c>
      <c r="B198" s="33" t="s">
        <v>340</v>
      </c>
      <c r="C198" s="34" t="s">
        <v>341</v>
      </c>
      <c r="D198" s="34" t="s">
        <v>99</v>
      </c>
      <c r="E198" s="35">
        <v>83.3</v>
      </c>
      <c r="F198" s="34" t="s">
        <v>55</v>
      </c>
      <c r="G198" s="36" t="s">
        <v>60</v>
      </c>
      <c r="H198" s="39">
        <v>83.3</v>
      </c>
      <c r="I198" s="40">
        <v>40000</v>
      </c>
      <c r="J198" s="41">
        <f t="shared" si="6"/>
        <v>3332000</v>
      </c>
      <c r="K198" s="64">
        <f>J198</f>
        <v>3332000</v>
      </c>
      <c r="L198" s="45"/>
      <c r="M198" s="46"/>
      <c r="N198" s="46"/>
      <c r="O198" s="46"/>
    </row>
    <row r="199" spans="1:15" s="47" customFormat="1" ht="47.25" customHeight="1">
      <c r="A199" s="307">
        <v>70</v>
      </c>
      <c r="B199" s="33" t="s">
        <v>344</v>
      </c>
      <c r="C199" s="34" t="s">
        <v>345</v>
      </c>
      <c r="D199" s="34" t="s">
        <v>99</v>
      </c>
      <c r="E199" s="35">
        <v>679.7</v>
      </c>
      <c r="F199" s="34" t="s">
        <v>49</v>
      </c>
      <c r="G199" s="36" t="s">
        <v>57</v>
      </c>
      <c r="H199" s="39">
        <v>679.7</v>
      </c>
      <c r="I199" s="40">
        <v>40000</v>
      </c>
      <c r="J199" s="41">
        <f t="shared" si="6"/>
        <v>27188000</v>
      </c>
      <c r="K199" s="313">
        <f>SUM(J199:J201)</f>
        <v>52340000</v>
      </c>
      <c r="L199" s="45"/>
      <c r="M199" s="46"/>
      <c r="N199" s="46"/>
      <c r="O199" s="46"/>
    </row>
    <row r="200" spans="1:15" s="47" customFormat="1" ht="47.25" customHeight="1">
      <c r="A200" s="308"/>
      <c r="B200" s="33" t="s">
        <v>344</v>
      </c>
      <c r="C200" s="34" t="s">
        <v>346</v>
      </c>
      <c r="D200" s="34" t="s">
        <v>96</v>
      </c>
      <c r="E200" s="35">
        <v>384.7</v>
      </c>
      <c r="F200" s="34" t="s">
        <v>45</v>
      </c>
      <c r="G200" s="36" t="s">
        <v>54</v>
      </c>
      <c r="H200" s="39">
        <v>384.7</v>
      </c>
      <c r="I200" s="40">
        <v>40000</v>
      </c>
      <c r="J200" s="41">
        <f t="shared" si="6"/>
        <v>15388000</v>
      </c>
      <c r="K200" s="314"/>
      <c r="L200" s="45"/>
      <c r="M200" s="46"/>
      <c r="N200" s="46"/>
      <c r="O200" s="46"/>
    </row>
    <row r="201" spans="1:15" s="47" customFormat="1" ht="47.25" customHeight="1">
      <c r="A201" s="309"/>
      <c r="B201" s="33" t="s">
        <v>344</v>
      </c>
      <c r="C201" s="34" t="s">
        <v>347</v>
      </c>
      <c r="D201" s="34" t="s">
        <v>99</v>
      </c>
      <c r="E201" s="35">
        <v>259.7</v>
      </c>
      <c r="F201" s="34" t="s">
        <v>45</v>
      </c>
      <c r="G201" s="36" t="s">
        <v>60</v>
      </c>
      <c r="H201" s="39">
        <v>244.1</v>
      </c>
      <c r="I201" s="40">
        <v>40000</v>
      </c>
      <c r="J201" s="41">
        <f t="shared" si="6"/>
        <v>9764000</v>
      </c>
      <c r="K201" s="314"/>
      <c r="L201" s="45"/>
      <c r="M201" s="46"/>
      <c r="N201" s="46"/>
      <c r="O201" s="46"/>
    </row>
    <row r="202" spans="1:15" s="47" customFormat="1" ht="47.25" customHeight="1">
      <c r="A202" s="307">
        <v>71</v>
      </c>
      <c r="B202" s="33" t="s">
        <v>348</v>
      </c>
      <c r="C202" s="34" t="s">
        <v>349</v>
      </c>
      <c r="D202" s="34" t="s">
        <v>96</v>
      </c>
      <c r="E202" s="35">
        <v>184.8</v>
      </c>
      <c r="F202" s="34" t="s">
        <v>55</v>
      </c>
      <c r="G202" s="36" t="s">
        <v>260</v>
      </c>
      <c r="H202" s="39">
        <v>184.8</v>
      </c>
      <c r="I202" s="40">
        <v>40000</v>
      </c>
      <c r="J202" s="41">
        <f t="shared" si="6"/>
        <v>7392000</v>
      </c>
      <c r="K202" s="313">
        <f>SUM(J202:J205)</f>
        <v>60932000</v>
      </c>
      <c r="L202" s="45"/>
      <c r="M202" s="46"/>
      <c r="N202" s="46"/>
      <c r="O202" s="46"/>
    </row>
    <row r="203" spans="1:15" s="47" customFormat="1" ht="47.25" customHeight="1">
      <c r="A203" s="308"/>
      <c r="B203" s="33" t="s">
        <v>348</v>
      </c>
      <c r="C203" s="34" t="s">
        <v>351</v>
      </c>
      <c r="D203" s="34" t="s">
        <v>99</v>
      </c>
      <c r="E203" s="35">
        <v>259</v>
      </c>
      <c r="F203" s="34" t="s">
        <v>49</v>
      </c>
      <c r="G203" s="36" t="s">
        <v>50</v>
      </c>
      <c r="H203" s="39">
        <v>259</v>
      </c>
      <c r="I203" s="40">
        <v>40000</v>
      </c>
      <c r="J203" s="41">
        <f t="shared" si="6"/>
        <v>10360000</v>
      </c>
      <c r="K203" s="314"/>
      <c r="L203" s="45"/>
      <c r="M203" s="46"/>
      <c r="N203" s="46"/>
      <c r="O203" s="46"/>
    </row>
    <row r="204" spans="1:15" s="47" customFormat="1" ht="47.25" customHeight="1">
      <c r="A204" s="308"/>
      <c r="B204" s="33" t="s">
        <v>348</v>
      </c>
      <c r="C204" s="34" t="s">
        <v>352</v>
      </c>
      <c r="D204" s="34" t="s">
        <v>99</v>
      </c>
      <c r="E204" s="35">
        <v>925</v>
      </c>
      <c r="F204" s="34" t="s">
        <v>45</v>
      </c>
      <c r="G204" s="36" t="s">
        <v>54</v>
      </c>
      <c r="H204" s="39">
        <v>925</v>
      </c>
      <c r="I204" s="40">
        <v>40000</v>
      </c>
      <c r="J204" s="41">
        <f t="shared" ref="J204:J267" si="7">H204*I204</f>
        <v>37000000</v>
      </c>
      <c r="K204" s="314"/>
      <c r="L204" s="45"/>
      <c r="M204" s="46"/>
      <c r="N204" s="46"/>
      <c r="O204" s="46"/>
    </row>
    <row r="205" spans="1:15" s="47" customFormat="1" ht="47.25" customHeight="1">
      <c r="A205" s="308"/>
      <c r="B205" s="33" t="s">
        <v>348</v>
      </c>
      <c r="C205" s="34" t="s">
        <v>353</v>
      </c>
      <c r="D205" s="34" t="s">
        <v>99</v>
      </c>
      <c r="E205" s="35">
        <v>154.5</v>
      </c>
      <c r="F205" s="34" t="s">
        <v>55</v>
      </c>
      <c r="G205" s="36" t="s">
        <v>56</v>
      </c>
      <c r="H205" s="39">
        <v>154.5</v>
      </c>
      <c r="I205" s="40">
        <v>40000</v>
      </c>
      <c r="J205" s="41">
        <f t="shared" si="7"/>
        <v>6180000</v>
      </c>
      <c r="K205" s="314"/>
      <c r="L205" s="45"/>
      <c r="M205" s="46"/>
      <c r="N205" s="46"/>
      <c r="O205" s="46"/>
    </row>
    <row r="206" spans="1:15" s="47" customFormat="1" ht="47.25" customHeight="1">
      <c r="A206" s="307">
        <v>72</v>
      </c>
      <c r="B206" s="33" t="s">
        <v>354</v>
      </c>
      <c r="C206" s="34" t="s">
        <v>355</v>
      </c>
      <c r="D206" s="34" t="s">
        <v>96</v>
      </c>
      <c r="E206" s="35">
        <v>399.9</v>
      </c>
      <c r="F206" s="34" t="s">
        <v>45</v>
      </c>
      <c r="G206" s="36" t="s">
        <v>54</v>
      </c>
      <c r="H206" s="39">
        <v>399.9</v>
      </c>
      <c r="I206" s="40">
        <v>40000</v>
      </c>
      <c r="J206" s="41">
        <f t="shared" si="7"/>
        <v>15996000</v>
      </c>
      <c r="K206" s="313">
        <f>SUM(J206:J207)</f>
        <v>19892000</v>
      </c>
      <c r="L206" s="45"/>
      <c r="M206" s="46"/>
      <c r="N206" s="46"/>
      <c r="O206" s="46"/>
    </row>
    <row r="207" spans="1:15" s="47" customFormat="1" ht="47.25" customHeight="1">
      <c r="A207" s="308"/>
      <c r="B207" s="33" t="s">
        <v>354</v>
      </c>
      <c r="C207" s="34" t="s">
        <v>357</v>
      </c>
      <c r="D207" s="34" t="s">
        <v>99</v>
      </c>
      <c r="E207" s="35">
        <v>97.4</v>
      </c>
      <c r="F207" s="34" t="s">
        <v>49</v>
      </c>
      <c r="G207" s="36" t="s">
        <v>57</v>
      </c>
      <c r="H207" s="39">
        <v>97.4</v>
      </c>
      <c r="I207" s="40">
        <v>40000</v>
      </c>
      <c r="J207" s="41">
        <f t="shared" si="7"/>
        <v>3896000</v>
      </c>
      <c r="K207" s="314"/>
      <c r="L207" s="45"/>
      <c r="M207" s="46"/>
      <c r="N207" s="46"/>
      <c r="O207" s="46"/>
    </row>
    <row r="208" spans="1:15" s="68" customFormat="1" ht="47.25" customHeight="1">
      <c r="A208" s="32">
        <v>73</v>
      </c>
      <c r="B208" s="33" t="s">
        <v>359</v>
      </c>
      <c r="C208" s="34" t="s">
        <v>99</v>
      </c>
      <c r="D208" s="34" t="s">
        <v>360</v>
      </c>
      <c r="E208" s="35">
        <v>149.4</v>
      </c>
      <c r="F208" s="34" t="s">
        <v>49</v>
      </c>
      <c r="G208" s="36" t="s">
        <v>198</v>
      </c>
      <c r="H208" s="39">
        <v>149.4</v>
      </c>
      <c r="I208" s="40">
        <v>40000</v>
      </c>
      <c r="J208" s="41">
        <f t="shared" si="7"/>
        <v>5976000</v>
      </c>
      <c r="K208" s="64">
        <f>J208</f>
        <v>5976000</v>
      </c>
      <c r="L208" s="45"/>
      <c r="M208" s="67"/>
      <c r="N208" s="67"/>
      <c r="O208" s="67"/>
    </row>
    <row r="209" spans="1:15" s="68" customFormat="1" ht="47.25" customHeight="1">
      <c r="A209" s="307">
        <v>74</v>
      </c>
      <c r="B209" s="33" t="s">
        <v>361</v>
      </c>
      <c r="C209" s="34" t="s">
        <v>362</v>
      </c>
      <c r="D209" s="34" t="s">
        <v>99</v>
      </c>
      <c r="E209" s="35">
        <v>521.6</v>
      </c>
      <c r="F209" s="34" t="s">
        <v>45</v>
      </c>
      <c r="G209" s="36" t="s">
        <v>60</v>
      </c>
      <c r="H209" s="39">
        <v>503.8</v>
      </c>
      <c r="I209" s="40">
        <v>40000</v>
      </c>
      <c r="J209" s="41">
        <f t="shared" si="7"/>
        <v>20152000</v>
      </c>
      <c r="K209" s="313">
        <f>SUM(J209:J212)</f>
        <v>28128000</v>
      </c>
      <c r="L209" s="45"/>
      <c r="M209" s="67"/>
      <c r="N209" s="67"/>
      <c r="O209" s="67"/>
    </row>
    <row r="210" spans="1:15" s="68" customFormat="1" ht="47.25" customHeight="1">
      <c r="A210" s="308"/>
      <c r="B210" s="33" t="s">
        <v>361</v>
      </c>
      <c r="C210" s="34">
        <v>273</v>
      </c>
      <c r="D210" s="34">
        <v>28</v>
      </c>
      <c r="E210" s="35">
        <v>240.2</v>
      </c>
      <c r="F210" s="34" t="s">
        <v>45</v>
      </c>
      <c r="G210" s="36" t="s">
        <v>60</v>
      </c>
      <c r="H210" s="39">
        <v>35.699999999999989</v>
      </c>
      <c r="I210" s="40">
        <v>40000</v>
      </c>
      <c r="J210" s="41">
        <f t="shared" si="7"/>
        <v>1427999.9999999995</v>
      </c>
      <c r="K210" s="314"/>
      <c r="L210" s="45"/>
      <c r="M210" s="67"/>
      <c r="N210" s="67"/>
      <c r="O210" s="67"/>
    </row>
    <row r="211" spans="1:15" s="68" customFormat="1" ht="47.25" customHeight="1">
      <c r="A211" s="308"/>
      <c r="B211" s="33" t="s">
        <v>361</v>
      </c>
      <c r="C211" s="34" t="s">
        <v>363</v>
      </c>
      <c r="D211" s="34" t="s">
        <v>99</v>
      </c>
      <c r="E211" s="35">
        <v>46.5</v>
      </c>
      <c r="F211" s="34" t="s">
        <v>49</v>
      </c>
      <c r="G211" s="36" t="s">
        <v>57</v>
      </c>
      <c r="H211" s="39">
        <v>46.5</v>
      </c>
      <c r="I211" s="40">
        <v>40000</v>
      </c>
      <c r="J211" s="41">
        <f t="shared" si="7"/>
        <v>1860000</v>
      </c>
      <c r="K211" s="314"/>
      <c r="L211" s="45"/>
      <c r="M211" s="67"/>
      <c r="N211" s="67"/>
      <c r="O211" s="67"/>
    </row>
    <row r="212" spans="1:15" s="68" customFormat="1" ht="47.25" customHeight="1">
      <c r="A212" s="309"/>
      <c r="B212" s="33" t="s">
        <v>361</v>
      </c>
      <c r="C212" s="34" t="s">
        <v>364</v>
      </c>
      <c r="D212" s="34" t="s">
        <v>99</v>
      </c>
      <c r="E212" s="35">
        <v>117.2</v>
      </c>
      <c r="F212" s="34" t="s">
        <v>49</v>
      </c>
      <c r="G212" s="36" t="s">
        <v>50</v>
      </c>
      <c r="H212" s="39">
        <v>117.2</v>
      </c>
      <c r="I212" s="40">
        <v>40000</v>
      </c>
      <c r="J212" s="41">
        <f t="shared" si="7"/>
        <v>4688000</v>
      </c>
      <c r="K212" s="315"/>
      <c r="L212" s="45"/>
      <c r="M212" s="67"/>
      <c r="N212" s="67"/>
      <c r="O212" s="67"/>
    </row>
    <row r="213" spans="1:15" s="47" customFormat="1" ht="47.25" customHeight="1">
      <c r="A213" s="307">
        <v>75</v>
      </c>
      <c r="B213" s="33" t="s">
        <v>366</v>
      </c>
      <c r="C213" s="34">
        <v>280</v>
      </c>
      <c r="D213" s="34" t="s">
        <v>99</v>
      </c>
      <c r="E213" s="35">
        <v>280</v>
      </c>
      <c r="F213" s="34" t="s">
        <v>45</v>
      </c>
      <c r="G213" s="36" t="s">
        <v>50</v>
      </c>
      <c r="H213" s="39">
        <v>9.3000000000000007</v>
      </c>
      <c r="I213" s="40">
        <v>40000</v>
      </c>
      <c r="J213" s="41">
        <f t="shared" si="7"/>
        <v>372000</v>
      </c>
      <c r="K213" s="313">
        <f>SUM(J213:J216)</f>
        <v>20948000</v>
      </c>
      <c r="L213" s="45" t="s">
        <v>367</v>
      </c>
      <c r="M213" s="46"/>
      <c r="N213" s="46"/>
      <c r="O213" s="46"/>
    </row>
    <row r="214" spans="1:15" s="47" customFormat="1" ht="47.25" customHeight="1">
      <c r="A214" s="308"/>
      <c r="B214" s="33" t="s">
        <v>366</v>
      </c>
      <c r="C214" s="34" t="s">
        <v>368</v>
      </c>
      <c r="D214" s="34" t="s">
        <v>99</v>
      </c>
      <c r="E214" s="35">
        <v>278.2</v>
      </c>
      <c r="F214" s="34" t="s">
        <v>45</v>
      </c>
      <c r="G214" s="36" t="s">
        <v>50</v>
      </c>
      <c r="H214" s="39">
        <v>278.2</v>
      </c>
      <c r="I214" s="40">
        <v>40000</v>
      </c>
      <c r="J214" s="41">
        <f t="shared" si="7"/>
        <v>11128000</v>
      </c>
      <c r="K214" s="314"/>
      <c r="L214" s="45"/>
      <c r="M214" s="46"/>
      <c r="N214" s="46"/>
      <c r="O214" s="46"/>
    </row>
    <row r="215" spans="1:15" s="47" customFormat="1" ht="47.25" customHeight="1">
      <c r="A215" s="308"/>
      <c r="B215" s="33" t="s">
        <v>366</v>
      </c>
      <c r="C215" s="34" t="s">
        <v>370</v>
      </c>
      <c r="D215" s="34" t="s">
        <v>99</v>
      </c>
      <c r="E215" s="35">
        <v>96.4</v>
      </c>
      <c r="F215" s="34" t="s">
        <v>49</v>
      </c>
      <c r="G215" s="36" t="s">
        <v>57</v>
      </c>
      <c r="H215" s="39">
        <v>96.4</v>
      </c>
      <c r="I215" s="40">
        <v>40000</v>
      </c>
      <c r="J215" s="41">
        <f t="shared" si="7"/>
        <v>3856000</v>
      </c>
      <c r="K215" s="314"/>
      <c r="L215" s="45"/>
      <c r="M215" s="46"/>
      <c r="N215" s="46"/>
      <c r="O215" s="46"/>
    </row>
    <row r="216" spans="1:15" s="47" customFormat="1" ht="47.25" customHeight="1">
      <c r="A216" s="308"/>
      <c r="B216" s="33" t="s">
        <v>366</v>
      </c>
      <c r="C216" s="34" t="s">
        <v>372</v>
      </c>
      <c r="D216" s="34" t="s">
        <v>99</v>
      </c>
      <c r="E216" s="35">
        <v>139.80000000000001</v>
      </c>
      <c r="F216" s="34" t="s">
        <v>49</v>
      </c>
      <c r="G216" s="36" t="s">
        <v>57</v>
      </c>
      <c r="H216" s="39">
        <v>139.80000000000001</v>
      </c>
      <c r="I216" s="40">
        <v>40000</v>
      </c>
      <c r="J216" s="41">
        <f t="shared" si="7"/>
        <v>5592000</v>
      </c>
      <c r="K216" s="314"/>
      <c r="L216" s="45" t="s">
        <v>118</v>
      </c>
      <c r="M216" s="46"/>
      <c r="N216" s="46"/>
      <c r="O216" s="46"/>
    </row>
    <row r="217" spans="1:15" s="68" customFormat="1" ht="2.25" customHeight="1">
      <c r="A217" s="307">
        <v>76</v>
      </c>
      <c r="B217" s="33" t="s">
        <v>375</v>
      </c>
      <c r="C217" s="34">
        <v>198</v>
      </c>
      <c r="D217" s="34" t="s">
        <v>96</v>
      </c>
      <c r="E217" s="35">
        <v>149.19999999999999</v>
      </c>
      <c r="F217" s="34" t="s">
        <v>55</v>
      </c>
      <c r="G217" s="36" t="s">
        <v>54</v>
      </c>
      <c r="H217" s="39">
        <v>149.19999999999999</v>
      </c>
      <c r="I217" s="40">
        <v>40000</v>
      </c>
      <c r="J217" s="41">
        <f t="shared" si="7"/>
        <v>5968000</v>
      </c>
      <c r="K217" s="313">
        <f>SUM(J217:J222)</f>
        <v>40272000</v>
      </c>
      <c r="L217" s="45"/>
      <c r="M217" s="67"/>
      <c r="N217" s="67"/>
      <c r="O217" s="67"/>
    </row>
    <row r="218" spans="1:15" s="68" customFormat="1" ht="46.5" customHeight="1">
      <c r="A218" s="308"/>
      <c r="B218" s="33" t="s">
        <v>375</v>
      </c>
      <c r="C218" s="34">
        <v>197</v>
      </c>
      <c r="D218" s="34" t="s">
        <v>96</v>
      </c>
      <c r="E218" s="35">
        <v>135.6</v>
      </c>
      <c r="F218" s="34" t="s">
        <v>55</v>
      </c>
      <c r="G218" s="36" t="s">
        <v>54</v>
      </c>
      <c r="H218" s="39">
        <v>135.6</v>
      </c>
      <c r="I218" s="40">
        <v>40000</v>
      </c>
      <c r="J218" s="41">
        <f t="shared" si="7"/>
        <v>5424000</v>
      </c>
      <c r="K218" s="314"/>
      <c r="L218" s="45"/>
      <c r="M218" s="67"/>
      <c r="N218" s="67"/>
      <c r="O218" s="67"/>
    </row>
    <row r="219" spans="1:15" s="68" customFormat="1" ht="46.5" customHeight="1">
      <c r="A219" s="308"/>
      <c r="B219" s="33" t="s">
        <v>375</v>
      </c>
      <c r="C219" s="34" t="s">
        <v>377</v>
      </c>
      <c r="D219" s="34" t="s">
        <v>99</v>
      </c>
      <c r="E219" s="35">
        <v>134.6</v>
      </c>
      <c r="F219" s="34" t="s">
        <v>49</v>
      </c>
      <c r="G219" s="36" t="s">
        <v>50</v>
      </c>
      <c r="H219" s="39">
        <v>134.6</v>
      </c>
      <c r="I219" s="40">
        <v>40000</v>
      </c>
      <c r="J219" s="41">
        <f t="shared" si="7"/>
        <v>5384000</v>
      </c>
      <c r="K219" s="314"/>
      <c r="L219" s="81"/>
      <c r="M219" s="67"/>
      <c r="N219" s="67"/>
      <c r="O219" s="67"/>
    </row>
    <row r="220" spans="1:15" s="68" customFormat="1" ht="46.5" customHeight="1">
      <c r="A220" s="308"/>
      <c r="B220" s="33" t="s">
        <v>375</v>
      </c>
      <c r="C220" s="34" t="s">
        <v>378</v>
      </c>
      <c r="D220" s="34" t="s">
        <v>99</v>
      </c>
      <c r="E220" s="35">
        <v>156.80000000000001</v>
      </c>
      <c r="F220" s="34" t="s">
        <v>49</v>
      </c>
      <c r="G220" s="36" t="s">
        <v>50</v>
      </c>
      <c r="H220" s="39">
        <v>156.80000000000001</v>
      </c>
      <c r="I220" s="40">
        <v>40000</v>
      </c>
      <c r="J220" s="41">
        <f t="shared" si="7"/>
        <v>6272000</v>
      </c>
      <c r="K220" s="175"/>
      <c r="L220" s="45"/>
      <c r="M220" s="67"/>
      <c r="N220" s="67"/>
      <c r="O220" s="67"/>
    </row>
    <row r="221" spans="1:15" s="68" customFormat="1" ht="46.5" customHeight="1">
      <c r="A221" s="308"/>
      <c r="B221" s="33" t="s">
        <v>375</v>
      </c>
      <c r="C221" s="34" t="s">
        <v>379</v>
      </c>
      <c r="D221" s="34" t="s">
        <v>99</v>
      </c>
      <c r="E221" s="35">
        <v>287.60000000000002</v>
      </c>
      <c r="F221" s="34" t="s">
        <v>49</v>
      </c>
      <c r="G221" s="36" t="s">
        <v>57</v>
      </c>
      <c r="H221" s="39">
        <v>287.60000000000002</v>
      </c>
      <c r="I221" s="40">
        <v>40000</v>
      </c>
      <c r="J221" s="41">
        <f t="shared" si="7"/>
        <v>11504000</v>
      </c>
      <c r="K221" s="175"/>
      <c r="L221" s="45"/>
      <c r="M221" s="67"/>
      <c r="N221" s="67"/>
      <c r="O221" s="67"/>
    </row>
    <row r="222" spans="1:15" s="68" customFormat="1" ht="46.5" customHeight="1">
      <c r="A222" s="309"/>
      <c r="B222" s="33" t="s">
        <v>375</v>
      </c>
      <c r="C222" s="34" t="s">
        <v>380</v>
      </c>
      <c r="D222" s="34" t="s">
        <v>99</v>
      </c>
      <c r="E222" s="35">
        <v>261.89999999999998</v>
      </c>
      <c r="F222" s="34" t="s">
        <v>55</v>
      </c>
      <c r="G222" s="36" t="s">
        <v>60</v>
      </c>
      <c r="H222" s="39">
        <v>143</v>
      </c>
      <c r="I222" s="40">
        <v>40000</v>
      </c>
      <c r="J222" s="41">
        <f t="shared" si="7"/>
        <v>5720000</v>
      </c>
      <c r="K222" s="176"/>
      <c r="L222" s="45"/>
      <c r="M222" s="67"/>
      <c r="N222" s="67"/>
      <c r="O222" s="67"/>
    </row>
    <row r="223" spans="1:15" s="68" customFormat="1" ht="46.5" customHeight="1">
      <c r="A223" s="307">
        <v>77</v>
      </c>
      <c r="B223" s="33" t="s">
        <v>382</v>
      </c>
      <c r="C223" s="34">
        <v>218</v>
      </c>
      <c r="D223" s="34">
        <v>28</v>
      </c>
      <c r="E223" s="35">
        <v>59.8</v>
      </c>
      <c r="F223" s="34" t="s">
        <v>45</v>
      </c>
      <c r="G223" s="36" t="s">
        <v>50</v>
      </c>
      <c r="H223" s="39">
        <v>59.8</v>
      </c>
      <c r="I223" s="40">
        <v>40000</v>
      </c>
      <c r="J223" s="41">
        <f t="shared" si="7"/>
        <v>2392000</v>
      </c>
      <c r="K223" s="313">
        <f>SUM(J223:J231)</f>
        <v>67296000</v>
      </c>
      <c r="L223" s="45"/>
      <c r="M223" s="67"/>
      <c r="N223" s="67"/>
      <c r="O223" s="67"/>
    </row>
    <row r="224" spans="1:15" s="68" customFormat="1" ht="46.5" customHeight="1">
      <c r="A224" s="308"/>
      <c r="B224" s="33" t="s">
        <v>382</v>
      </c>
      <c r="C224" s="34" t="s">
        <v>384</v>
      </c>
      <c r="D224" s="34" t="s">
        <v>96</v>
      </c>
      <c r="E224" s="35">
        <v>368.6</v>
      </c>
      <c r="F224" s="34" t="s">
        <v>45</v>
      </c>
      <c r="G224" s="36" t="s">
        <v>54</v>
      </c>
      <c r="H224" s="39">
        <v>368.6</v>
      </c>
      <c r="I224" s="40">
        <v>40000</v>
      </c>
      <c r="J224" s="41">
        <f t="shared" si="7"/>
        <v>14744000</v>
      </c>
      <c r="K224" s="314"/>
      <c r="L224" s="45"/>
      <c r="M224" s="67"/>
      <c r="N224" s="67"/>
      <c r="O224" s="67"/>
    </row>
    <row r="225" spans="1:15" s="68" customFormat="1" ht="46.5" customHeight="1">
      <c r="A225" s="308"/>
      <c r="B225" s="33" t="s">
        <v>382</v>
      </c>
      <c r="C225" s="34" t="s">
        <v>385</v>
      </c>
      <c r="D225" s="34" t="s">
        <v>99</v>
      </c>
      <c r="E225" s="35">
        <v>471.5</v>
      </c>
      <c r="F225" s="34" t="s">
        <v>45</v>
      </c>
      <c r="G225" s="36" t="s">
        <v>60</v>
      </c>
      <c r="H225" s="39">
        <v>354.7</v>
      </c>
      <c r="I225" s="40">
        <v>40000</v>
      </c>
      <c r="J225" s="41">
        <f t="shared" si="7"/>
        <v>14188000</v>
      </c>
      <c r="K225" s="314"/>
      <c r="L225" s="45"/>
      <c r="M225" s="67"/>
      <c r="N225" s="67"/>
      <c r="O225" s="67"/>
    </row>
    <row r="226" spans="1:15" s="68" customFormat="1" ht="46.5" customHeight="1">
      <c r="A226" s="308"/>
      <c r="B226" s="33" t="s">
        <v>382</v>
      </c>
      <c r="C226" s="34">
        <v>73</v>
      </c>
      <c r="D226" s="34" t="s">
        <v>99</v>
      </c>
      <c r="E226" s="35">
        <v>373.1</v>
      </c>
      <c r="F226" s="34" t="s">
        <v>45</v>
      </c>
      <c r="G226" s="36" t="s">
        <v>60</v>
      </c>
      <c r="H226" s="39">
        <v>46.400000000000013</v>
      </c>
      <c r="I226" s="40">
        <v>40000</v>
      </c>
      <c r="J226" s="41">
        <f t="shared" si="7"/>
        <v>1856000.0000000005</v>
      </c>
      <c r="K226" s="314"/>
      <c r="L226" s="45"/>
      <c r="M226" s="67"/>
      <c r="N226" s="67"/>
      <c r="O226" s="67"/>
    </row>
    <row r="227" spans="1:15" s="68" customFormat="1" ht="46.5" customHeight="1">
      <c r="A227" s="308"/>
      <c r="B227" s="33" t="s">
        <v>382</v>
      </c>
      <c r="C227" s="34" t="s">
        <v>386</v>
      </c>
      <c r="D227" s="34" t="s">
        <v>99</v>
      </c>
      <c r="E227" s="35">
        <v>197.4</v>
      </c>
      <c r="F227" s="34" t="s">
        <v>55</v>
      </c>
      <c r="G227" s="36" t="s">
        <v>60</v>
      </c>
      <c r="H227" s="39">
        <v>137.4</v>
      </c>
      <c r="I227" s="40">
        <v>40000</v>
      </c>
      <c r="J227" s="41">
        <f t="shared" si="7"/>
        <v>5496000</v>
      </c>
      <c r="K227" s="314"/>
      <c r="L227" s="45"/>
      <c r="M227" s="67"/>
      <c r="N227" s="67"/>
      <c r="O227" s="67"/>
    </row>
    <row r="228" spans="1:15" s="68" customFormat="1" ht="46.5" customHeight="1">
      <c r="A228" s="308"/>
      <c r="B228" s="33" t="s">
        <v>382</v>
      </c>
      <c r="C228" s="34" t="s">
        <v>387</v>
      </c>
      <c r="D228" s="34" t="s">
        <v>99</v>
      </c>
      <c r="E228" s="35">
        <v>67.8</v>
      </c>
      <c r="F228" s="34" t="s">
        <v>45</v>
      </c>
      <c r="G228" s="36" t="s">
        <v>50</v>
      </c>
      <c r="H228" s="39">
        <v>67.8</v>
      </c>
      <c r="I228" s="40">
        <v>40000</v>
      </c>
      <c r="J228" s="41">
        <f t="shared" si="7"/>
        <v>2712000</v>
      </c>
      <c r="K228" s="314"/>
      <c r="L228" s="81"/>
      <c r="M228" s="67"/>
      <c r="N228" s="67"/>
      <c r="O228" s="67"/>
    </row>
    <row r="229" spans="1:15" s="68" customFormat="1" ht="46.5" customHeight="1">
      <c r="A229" s="308"/>
      <c r="B229" s="33" t="s">
        <v>382</v>
      </c>
      <c r="C229" s="34" t="s">
        <v>388</v>
      </c>
      <c r="D229" s="34" t="s">
        <v>99</v>
      </c>
      <c r="E229" s="35">
        <v>246.5</v>
      </c>
      <c r="F229" s="34" t="s">
        <v>49</v>
      </c>
      <c r="G229" s="36" t="s">
        <v>50</v>
      </c>
      <c r="H229" s="39">
        <v>246.5</v>
      </c>
      <c r="I229" s="40">
        <v>40000</v>
      </c>
      <c r="J229" s="41">
        <f t="shared" si="7"/>
        <v>9860000</v>
      </c>
      <c r="K229" s="314"/>
      <c r="L229" s="45"/>
      <c r="M229" s="67"/>
      <c r="N229" s="67"/>
      <c r="O229" s="67"/>
    </row>
    <row r="230" spans="1:15" s="68" customFormat="1" ht="46.5" customHeight="1">
      <c r="A230" s="308"/>
      <c r="B230" s="33" t="s">
        <v>382</v>
      </c>
      <c r="C230" s="34" t="s">
        <v>390</v>
      </c>
      <c r="D230" s="34" t="s">
        <v>99</v>
      </c>
      <c r="E230" s="35">
        <v>158</v>
      </c>
      <c r="F230" s="34" t="s">
        <v>49</v>
      </c>
      <c r="G230" s="36" t="s">
        <v>50</v>
      </c>
      <c r="H230" s="39">
        <v>158</v>
      </c>
      <c r="I230" s="40">
        <v>40000</v>
      </c>
      <c r="J230" s="41">
        <f t="shared" si="7"/>
        <v>6320000</v>
      </c>
      <c r="K230" s="314"/>
      <c r="L230" s="45"/>
      <c r="M230" s="67"/>
      <c r="N230" s="67"/>
      <c r="O230" s="67"/>
    </row>
    <row r="231" spans="1:15" s="68" customFormat="1" ht="46.5" customHeight="1">
      <c r="A231" s="309"/>
      <c r="B231" s="33" t="s">
        <v>382</v>
      </c>
      <c r="C231" s="34" t="s">
        <v>391</v>
      </c>
      <c r="D231" s="34" t="s">
        <v>99</v>
      </c>
      <c r="E231" s="35">
        <v>243.2</v>
      </c>
      <c r="F231" s="34" t="s">
        <v>49</v>
      </c>
      <c r="G231" s="36" t="s">
        <v>50</v>
      </c>
      <c r="H231" s="39">
        <v>243.2</v>
      </c>
      <c r="I231" s="40">
        <v>40000</v>
      </c>
      <c r="J231" s="41">
        <f t="shared" si="7"/>
        <v>9728000</v>
      </c>
      <c r="K231" s="315"/>
      <c r="L231" s="45"/>
      <c r="M231" s="67"/>
      <c r="N231" s="67"/>
      <c r="O231" s="67"/>
    </row>
    <row r="232" spans="1:15" s="68" customFormat="1" ht="46.5" customHeight="1">
      <c r="A232" s="307">
        <v>78</v>
      </c>
      <c r="B232" s="33" t="s">
        <v>392</v>
      </c>
      <c r="C232" s="34" t="s">
        <v>393</v>
      </c>
      <c r="D232" s="34" t="s">
        <v>159</v>
      </c>
      <c r="E232" s="35">
        <v>83.8</v>
      </c>
      <c r="F232" s="34" t="s">
        <v>49</v>
      </c>
      <c r="G232" s="36" t="s">
        <v>394</v>
      </c>
      <c r="H232" s="39">
        <v>83.8</v>
      </c>
      <c r="I232" s="40">
        <v>40000</v>
      </c>
      <c r="J232" s="41">
        <f t="shared" si="7"/>
        <v>3352000</v>
      </c>
      <c r="K232" s="313">
        <f>SUM(J232:J238)</f>
        <v>64364000</v>
      </c>
      <c r="L232" s="45"/>
      <c r="M232" s="67"/>
      <c r="N232" s="67"/>
      <c r="O232" s="67"/>
    </row>
    <row r="233" spans="1:15" s="68" customFormat="1" ht="46.5" customHeight="1">
      <c r="A233" s="308"/>
      <c r="B233" s="33" t="s">
        <v>392</v>
      </c>
      <c r="C233" s="34">
        <v>137</v>
      </c>
      <c r="D233" s="34">
        <v>28</v>
      </c>
      <c r="E233" s="35">
        <v>576.1</v>
      </c>
      <c r="F233" s="34" t="s">
        <v>49</v>
      </c>
      <c r="G233" s="36" t="s">
        <v>394</v>
      </c>
      <c r="H233" s="39">
        <v>260</v>
      </c>
      <c r="I233" s="40">
        <v>40000</v>
      </c>
      <c r="J233" s="41">
        <f t="shared" si="7"/>
        <v>10400000</v>
      </c>
      <c r="K233" s="314"/>
      <c r="L233" s="45"/>
      <c r="M233" s="67"/>
      <c r="N233" s="67"/>
      <c r="O233" s="67"/>
    </row>
    <row r="234" spans="1:15" s="68" customFormat="1" ht="46.5" customHeight="1">
      <c r="A234" s="308"/>
      <c r="B234" s="33" t="s">
        <v>392</v>
      </c>
      <c r="C234" s="34" t="s">
        <v>397</v>
      </c>
      <c r="D234" s="34" t="s">
        <v>99</v>
      </c>
      <c r="E234" s="35">
        <v>449.7</v>
      </c>
      <c r="F234" s="34" t="s">
        <v>45</v>
      </c>
      <c r="G234" s="36" t="s">
        <v>60</v>
      </c>
      <c r="H234" s="39">
        <v>449.7</v>
      </c>
      <c r="I234" s="40">
        <v>40000</v>
      </c>
      <c r="J234" s="41">
        <f t="shared" si="7"/>
        <v>17988000</v>
      </c>
      <c r="K234" s="314"/>
      <c r="L234" s="45"/>
      <c r="M234" s="67"/>
      <c r="N234" s="67"/>
      <c r="O234" s="67"/>
    </row>
    <row r="235" spans="1:15" s="68" customFormat="1" ht="46.5" customHeight="1">
      <c r="A235" s="308"/>
      <c r="B235" s="33" t="s">
        <v>392</v>
      </c>
      <c r="C235" s="34" t="s">
        <v>398</v>
      </c>
      <c r="D235" s="34" t="s">
        <v>96</v>
      </c>
      <c r="E235" s="35">
        <v>401.3</v>
      </c>
      <c r="F235" s="34" t="s">
        <v>45</v>
      </c>
      <c r="G235" s="36" t="s">
        <v>399</v>
      </c>
      <c r="H235" s="39">
        <v>401.3</v>
      </c>
      <c r="I235" s="40">
        <v>40000</v>
      </c>
      <c r="J235" s="41">
        <f t="shared" si="7"/>
        <v>16052000</v>
      </c>
      <c r="K235" s="314"/>
      <c r="L235" s="45"/>
      <c r="M235" s="67"/>
      <c r="N235" s="67"/>
      <c r="O235" s="67"/>
    </row>
    <row r="236" spans="1:15" s="68" customFormat="1" ht="46.5" customHeight="1">
      <c r="A236" s="308"/>
      <c r="B236" s="33" t="s">
        <v>392</v>
      </c>
      <c r="C236" s="34" t="s">
        <v>400</v>
      </c>
      <c r="D236" s="34" t="s">
        <v>99</v>
      </c>
      <c r="E236" s="35">
        <v>132.69999999999999</v>
      </c>
      <c r="F236" s="34" t="s">
        <v>49</v>
      </c>
      <c r="G236" s="36" t="s">
        <v>198</v>
      </c>
      <c r="H236" s="39">
        <v>132.69999999999999</v>
      </c>
      <c r="I236" s="40">
        <v>40000</v>
      </c>
      <c r="J236" s="41">
        <f t="shared" si="7"/>
        <v>5308000</v>
      </c>
      <c r="K236" s="314"/>
      <c r="L236" s="45"/>
      <c r="M236" s="67"/>
      <c r="N236" s="67"/>
      <c r="O236" s="67"/>
    </row>
    <row r="237" spans="1:15" s="68" customFormat="1" ht="46.5" customHeight="1">
      <c r="A237" s="308"/>
      <c r="B237" s="33" t="s">
        <v>392</v>
      </c>
      <c r="C237" s="34" t="s">
        <v>402</v>
      </c>
      <c r="D237" s="34" t="s">
        <v>99</v>
      </c>
      <c r="E237" s="35">
        <v>190.5</v>
      </c>
      <c r="F237" s="34" t="s">
        <v>49</v>
      </c>
      <c r="G237" s="36" t="s">
        <v>50</v>
      </c>
      <c r="H237" s="39">
        <v>190.5</v>
      </c>
      <c r="I237" s="40">
        <v>40000</v>
      </c>
      <c r="J237" s="41">
        <f t="shared" si="7"/>
        <v>7620000</v>
      </c>
      <c r="K237" s="314"/>
      <c r="L237" s="45"/>
      <c r="M237" s="67"/>
      <c r="N237" s="67"/>
      <c r="O237" s="67"/>
    </row>
    <row r="238" spans="1:15" s="68" customFormat="1" ht="46.5" customHeight="1">
      <c r="A238" s="308"/>
      <c r="B238" s="33" t="s">
        <v>392</v>
      </c>
      <c r="C238" s="34">
        <v>443</v>
      </c>
      <c r="D238" s="34" t="s">
        <v>99</v>
      </c>
      <c r="E238" s="35">
        <v>91.1</v>
      </c>
      <c r="F238" s="34" t="s">
        <v>49</v>
      </c>
      <c r="G238" s="36" t="s">
        <v>57</v>
      </c>
      <c r="H238" s="39">
        <v>91.1</v>
      </c>
      <c r="I238" s="40">
        <v>40000</v>
      </c>
      <c r="J238" s="41">
        <f t="shared" si="7"/>
        <v>3644000</v>
      </c>
      <c r="K238" s="314"/>
      <c r="L238" s="45"/>
      <c r="M238" s="67"/>
      <c r="N238" s="67"/>
      <c r="O238" s="67"/>
    </row>
    <row r="239" spans="1:15" s="47" customFormat="1" ht="67.5" customHeight="1">
      <c r="A239" s="32">
        <v>79</v>
      </c>
      <c r="B239" s="33" t="s">
        <v>404</v>
      </c>
      <c r="C239" s="48">
        <v>71</v>
      </c>
      <c r="D239" s="48">
        <v>28</v>
      </c>
      <c r="E239" s="71">
        <v>348.4</v>
      </c>
      <c r="F239" s="34" t="s">
        <v>55</v>
      </c>
      <c r="G239" s="36" t="s">
        <v>46</v>
      </c>
      <c r="H239" s="39">
        <v>174.2</v>
      </c>
      <c r="I239" s="40">
        <v>40000</v>
      </c>
      <c r="J239" s="41">
        <f t="shared" si="7"/>
        <v>6968000</v>
      </c>
      <c r="K239" s="64">
        <f>J239</f>
        <v>6968000</v>
      </c>
      <c r="L239" s="45"/>
      <c r="M239" s="46"/>
      <c r="N239" s="46"/>
      <c r="O239" s="46"/>
    </row>
    <row r="240" spans="1:15" s="68" customFormat="1" ht="39.75" customHeight="1">
      <c r="A240" s="307">
        <v>80</v>
      </c>
      <c r="B240" s="33" t="s">
        <v>407</v>
      </c>
      <c r="C240" s="34">
        <v>61</v>
      </c>
      <c r="D240" s="34">
        <v>28</v>
      </c>
      <c r="E240" s="35">
        <v>87.8</v>
      </c>
      <c r="F240" s="34" t="s">
        <v>55</v>
      </c>
      <c r="G240" s="36" t="s">
        <v>408</v>
      </c>
      <c r="H240" s="39">
        <v>87.8</v>
      </c>
      <c r="I240" s="40">
        <v>40000</v>
      </c>
      <c r="J240" s="41">
        <f t="shared" si="7"/>
        <v>3512000</v>
      </c>
      <c r="K240" s="313">
        <f>SUM(J240:J245)</f>
        <v>55724000</v>
      </c>
      <c r="L240" s="45"/>
      <c r="M240" s="67"/>
      <c r="N240" s="67"/>
      <c r="O240" s="67"/>
    </row>
    <row r="241" spans="1:15" s="68" customFormat="1" ht="39.75" customHeight="1">
      <c r="A241" s="308"/>
      <c r="B241" s="33" t="s">
        <v>407</v>
      </c>
      <c r="C241" s="34">
        <v>197</v>
      </c>
      <c r="D241" s="34">
        <v>28</v>
      </c>
      <c r="E241" s="35">
        <v>900.7</v>
      </c>
      <c r="F241" s="34" t="s">
        <v>45</v>
      </c>
      <c r="G241" s="36" t="s">
        <v>63</v>
      </c>
      <c r="H241" s="39">
        <v>693.2</v>
      </c>
      <c r="I241" s="40">
        <v>40000</v>
      </c>
      <c r="J241" s="41">
        <f t="shared" si="7"/>
        <v>27728000</v>
      </c>
      <c r="K241" s="314"/>
      <c r="L241" s="45"/>
      <c r="M241" s="67"/>
      <c r="N241" s="67"/>
      <c r="O241" s="67"/>
    </row>
    <row r="242" spans="1:15" s="68" customFormat="1" ht="39.75" customHeight="1">
      <c r="A242" s="308"/>
      <c r="B242" s="33" t="s">
        <v>407</v>
      </c>
      <c r="C242" s="34">
        <v>287</v>
      </c>
      <c r="D242" s="34">
        <v>28</v>
      </c>
      <c r="E242" s="35">
        <v>133.4</v>
      </c>
      <c r="F242" s="34" t="s">
        <v>49</v>
      </c>
      <c r="G242" s="36" t="s">
        <v>50</v>
      </c>
      <c r="H242" s="39">
        <v>133.4</v>
      </c>
      <c r="I242" s="40">
        <v>40000</v>
      </c>
      <c r="J242" s="41">
        <f t="shared" si="7"/>
        <v>5336000</v>
      </c>
      <c r="K242" s="314"/>
      <c r="L242" s="45"/>
      <c r="M242" s="67"/>
      <c r="N242" s="67"/>
      <c r="O242" s="67"/>
    </row>
    <row r="243" spans="1:15" s="68" customFormat="1" ht="39.75" customHeight="1">
      <c r="A243" s="308"/>
      <c r="B243" s="33" t="s">
        <v>407</v>
      </c>
      <c r="C243" s="34">
        <v>352</v>
      </c>
      <c r="D243" s="34">
        <v>28</v>
      </c>
      <c r="E243" s="35">
        <v>37.9</v>
      </c>
      <c r="F243" s="34" t="s">
        <v>49</v>
      </c>
      <c r="G243" s="36" t="s">
        <v>410</v>
      </c>
      <c r="H243" s="39">
        <v>37.9</v>
      </c>
      <c r="I243" s="40">
        <v>40000</v>
      </c>
      <c r="J243" s="41">
        <f t="shared" si="7"/>
        <v>1516000</v>
      </c>
      <c r="K243" s="314"/>
      <c r="L243" s="45"/>
      <c r="M243" s="67"/>
      <c r="N243" s="67"/>
      <c r="O243" s="67"/>
    </row>
    <row r="244" spans="1:15" s="68" customFormat="1" ht="39.75" customHeight="1">
      <c r="A244" s="308"/>
      <c r="B244" s="33" t="s">
        <v>407</v>
      </c>
      <c r="C244" s="34">
        <v>378</v>
      </c>
      <c r="D244" s="34">
        <v>28</v>
      </c>
      <c r="E244" s="35">
        <v>214.5</v>
      </c>
      <c r="F244" s="34" t="s">
        <v>49</v>
      </c>
      <c r="G244" s="36" t="s">
        <v>111</v>
      </c>
      <c r="H244" s="39">
        <v>214.5</v>
      </c>
      <c r="I244" s="40">
        <v>40000</v>
      </c>
      <c r="J244" s="41">
        <f t="shared" si="7"/>
        <v>8580000</v>
      </c>
      <c r="K244" s="314"/>
      <c r="L244" s="45"/>
      <c r="M244" s="67"/>
      <c r="N244" s="67"/>
      <c r="O244" s="67"/>
    </row>
    <row r="245" spans="1:15" s="68" customFormat="1" ht="39.75" customHeight="1">
      <c r="A245" s="308"/>
      <c r="B245" s="33" t="s">
        <v>407</v>
      </c>
      <c r="C245" s="34">
        <v>446</v>
      </c>
      <c r="D245" s="34">
        <v>28</v>
      </c>
      <c r="E245" s="35">
        <v>226.3</v>
      </c>
      <c r="F245" s="34" t="s">
        <v>49</v>
      </c>
      <c r="G245" s="36" t="s">
        <v>111</v>
      </c>
      <c r="H245" s="39">
        <v>226.3</v>
      </c>
      <c r="I245" s="40">
        <v>40000</v>
      </c>
      <c r="J245" s="41">
        <f t="shared" si="7"/>
        <v>9052000</v>
      </c>
      <c r="K245" s="314"/>
      <c r="L245" s="45"/>
      <c r="M245" s="67"/>
      <c r="N245" s="67"/>
      <c r="O245" s="67"/>
    </row>
    <row r="246" spans="1:15" s="47" customFormat="1" ht="39.75" customHeight="1">
      <c r="A246" s="307">
        <v>81</v>
      </c>
      <c r="B246" s="33" t="s">
        <v>412</v>
      </c>
      <c r="C246" s="34">
        <v>212</v>
      </c>
      <c r="D246" s="34">
        <v>28</v>
      </c>
      <c r="E246" s="35">
        <v>137.30000000000001</v>
      </c>
      <c r="F246" s="34" t="s">
        <v>49</v>
      </c>
      <c r="G246" s="36" t="s">
        <v>50</v>
      </c>
      <c r="H246" s="39">
        <v>137.30000000000001</v>
      </c>
      <c r="I246" s="40">
        <v>40000</v>
      </c>
      <c r="J246" s="41">
        <f t="shared" si="7"/>
        <v>5492000</v>
      </c>
      <c r="K246" s="313">
        <f>SUM(J246:J249)</f>
        <v>28260000</v>
      </c>
      <c r="L246" s="45"/>
      <c r="M246" s="46"/>
      <c r="N246" s="46"/>
      <c r="O246" s="46"/>
    </row>
    <row r="247" spans="1:15" s="47" customFormat="1" ht="39.75" customHeight="1">
      <c r="A247" s="308"/>
      <c r="B247" s="33" t="s">
        <v>412</v>
      </c>
      <c r="C247" s="95">
        <v>286</v>
      </c>
      <c r="D247" s="95">
        <v>28</v>
      </c>
      <c r="E247" s="96">
        <v>521.70000000000005</v>
      </c>
      <c r="F247" s="34" t="s">
        <v>49</v>
      </c>
      <c r="G247" s="36" t="s">
        <v>50</v>
      </c>
      <c r="H247" s="39">
        <v>246</v>
      </c>
      <c r="I247" s="40">
        <v>40000</v>
      </c>
      <c r="J247" s="41">
        <f t="shared" si="7"/>
        <v>9840000</v>
      </c>
      <c r="K247" s="314"/>
      <c r="L247" s="45" t="s">
        <v>415</v>
      </c>
      <c r="M247" s="46"/>
      <c r="N247" s="46"/>
      <c r="O247" s="46"/>
    </row>
    <row r="248" spans="1:15" s="47" customFormat="1" ht="39.75" customHeight="1">
      <c r="A248" s="308"/>
      <c r="B248" s="33" t="s">
        <v>412</v>
      </c>
      <c r="C248" s="34">
        <v>358</v>
      </c>
      <c r="D248" s="34">
        <v>28</v>
      </c>
      <c r="E248" s="35">
        <v>154.69999999999999</v>
      </c>
      <c r="F248" s="34" t="s">
        <v>49</v>
      </c>
      <c r="G248" s="36" t="s">
        <v>74</v>
      </c>
      <c r="H248" s="39">
        <v>154.69999999999999</v>
      </c>
      <c r="I248" s="40">
        <v>40000</v>
      </c>
      <c r="J248" s="41">
        <f t="shared" si="7"/>
        <v>6188000</v>
      </c>
      <c r="K248" s="314"/>
      <c r="L248" s="45"/>
      <c r="M248" s="46"/>
      <c r="N248" s="46"/>
      <c r="O248" s="46"/>
    </row>
    <row r="249" spans="1:15" s="47" customFormat="1" ht="39.75" customHeight="1">
      <c r="A249" s="308"/>
      <c r="B249" s="33" t="s">
        <v>412</v>
      </c>
      <c r="C249" s="34">
        <v>359</v>
      </c>
      <c r="D249" s="34">
        <v>28</v>
      </c>
      <c r="E249" s="35">
        <v>168.5</v>
      </c>
      <c r="F249" s="34" t="s">
        <v>49</v>
      </c>
      <c r="G249" s="36" t="s">
        <v>417</v>
      </c>
      <c r="H249" s="39">
        <v>168.5</v>
      </c>
      <c r="I249" s="40">
        <v>40000</v>
      </c>
      <c r="J249" s="41">
        <f t="shared" si="7"/>
        <v>6740000</v>
      </c>
      <c r="K249" s="314"/>
      <c r="L249" s="45"/>
      <c r="M249" s="46"/>
      <c r="N249" s="46"/>
      <c r="O249" s="46"/>
    </row>
    <row r="250" spans="1:15" s="68" customFormat="1" ht="39.75" customHeight="1">
      <c r="A250" s="307">
        <v>82</v>
      </c>
      <c r="B250" s="33" t="s">
        <v>419</v>
      </c>
      <c r="C250" s="34">
        <v>173</v>
      </c>
      <c r="D250" s="34">
        <v>21</v>
      </c>
      <c r="E250" s="35">
        <v>82.5</v>
      </c>
      <c r="F250" s="97" t="s">
        <v>45</v>
      </c>
      <c r="G250" s="36" t="s">
        <v>260</v>
      </c>
      <c r="H250" s="39">
        <v>82.5</v>
      </c>
      <c r="I250" s="40">
        <v>40000</v>
      </c>
      <c r="J250" s="41">
        <f t="shared" si="7"/>
        <v>3300000</v>
      </c>
      <c r="K250" s="313">
        <f>SUM(J250:J259)</f>
        <v>49700000</v>
      </c>
      <c r="L250" s="45"/>
      <c r="M250" s="67"/>
      <c r="N250" s="67"/>
      <c r="O250" s="67"/>
    </row>
    <row r="251" spans="1:15" s="68" customFormat="1" ht="39.75" customHeight="1">
      <c r="A251" s="308"/>
      <c r="B251" s="33" t="s">
        <v>419</v>
      </c>
      <c r="C251" s="34">
        <v>249</v>
      </c>
      <c r="D251" s="34">
        <v>21</v>
      </c>
      <c r="E251" s="35">
        <v>246.3</v>
      </c>
      <c r="F251" s="97" t="s">
        <v>45</v>
      </c>
      <c r="G251" s="36" t="s">
        <v>54</v>
      </c>
      <c r="H251" s="39">
        <v>246.3</v>
      </c>
      <c r="I251" s="40">
        <v>40000</v>
      </c>
      <c r="J251" s="41">
        <f t="shared" si="7"/>
        <v>9852000</v>
      </c>
      <c r="K251" s="314"/>
      <c r="L251" s="45"/>
      <c r="M251" s="67"/>
      <c r="N251" s="67"/>
      <c r="O251" s="67"/>
    </row>
    <row r="252" spans="1:15" s="68" customFormat="1" ht="39.75" customHeight="1">
      <c r="A252" s="308"/>
      <c r="B252" s="33" t="s">
        <v>419</v>
      </c>
      <c r="C252" s="34">
        <v>86</v>
      </c>
      <c r="D252" s="34">
        <v>28</v>
      </c>
      <c r="E252" s="35">
        <v>147.6</v>
      </c>
      <c r="F252" s="97" t="s">
        <v>49</v>
      </c>
      <c r="G252" s="36" t="s">
        <v>242</v>
      </c>
      <c r="H252" s="39">
        <v>147.6</v>
      </c>
      <c r="I252" s="40">
        <v>40000</v>
      </c>
      <c r="J252" s="41">
        <f t="shared" si="7"/>
        <v>5904000</v>
      </c>
      <c r="K252" s="314"/>
      <c r="L252" s="45"/>
      <c r="M252" s="67"/>
      <c r="N252" s="67"/>
      <c r="O252" s="67"/>
    </row>
    <row r="253" spans="1:15" s="68" customFormat="1" ht="39.75" customHeight="1">
      <c r="A253" s="308"/>
      <c r="B253" s="33" t="s">
        <v>419</v>
      </c>
      <c r="C253" s="34">
        <v>148</v>
      </c>
      <c r="D253" s="34">
        <v>28</v>
      </c>
      <c r="E253" s="35">
        <v>198.1</v>
      </c>
      <c r="F253" s="97" t="s">
        <v>45</v>
      </c>
      <c r="G253" s="36" t="s">
        <v>63</v>
      </c>
      <c r="H253" s="39">
        <v>198.1</v>
      </c>
      <c r="I253" s="40">
        <v>40000</v>
      </c>
      <c r="J253" s="41">
        <f t="shared" si="7"/>
        <v>7924000</v>
      </c>
      <c r="K253" s="314"/>
      <c r="L253" s="45"/>
      <c r="M253" s="67"/>
      <c r="N253" s="67"/>
      <c r="O253" s="67"/>
    </row>
    <row r="254" spans="1:15" s="68" customFormat="1" ht="39.75" customHeight="1">
      <c r="A254" s="308"/>
      <c r="B254" s="33" t="s">
        <v>419</v>
      </c>
      <c r="C254" s="34">
        <v>145</v>
      </c>
      <c r="D254" s="34">
        <v>28</v>
      </c>
      <c r="E254" s="35">
        <v>555.79999999999995</v>
      </c>
      <c r="F254" s="97" t="s">
        <v>45</v>
      </c>
      <c r="G254" s="36" t="s">
        <v>63</v>
      </c>
      <c r="H254" s="39">
        <v>2.2999999999999998</v>
      </c>
      <c r="I254" s="40">
        <v>40000</v>
      </c>
      <c r="J254" s="41">
        <f t="shared" si="7"/>
        <v>92000</v>
      </c>
      <c r="K254" s="314"/>
      <c r="L254" s="45"/>
      <c r="M254" s="67"/>
      <c r="N254" s="67"/>
      <c r="O254" s="67"/>
    </row>
    <row r="255" spans="1:15" s="68" customFormat="1" ht="39.75" customHeight="1">
      <c r="A255" s="308"/>
      <c r="B255" s="33" t="s">
        <v>419</v>
      </c>
      <c r="C255" s="34">
        <v>221</v>
      </c>
      <c r="D255" s="34">
        <v>28</v>
      </c>
      <c r="E255" s="35">
        <v>259.7</v>
      </c>
      <c r="F255" s="97" t="s">
        <v>45</v>
      </c>
      <c r="G255" s="36" t="s">
        <v>63</v>
      </c>
      <c r="H255" s="39">
        <v>15.6</v>
      </c>
      <c r="I255" s="40">
        <v>40000</v>
      </c>
      <c r="J255" s="41">
        <f t="shared" si="7"/>
        <v>624000</v>
      </c>
      <c r="K255" s="314"/>
      <c r="L255" s="45"/>
      <c r="M255" s="67"/>
      <c r="N255" s="67"/>
      <c r="O255" s="67"/>
    </row>
    <row r="256" spans="1:15" s="68" customFormat="1" ht="39.75" customHeight="1">
      <c r="A256" s="308"/>
      <c r="B256" s="33" t="s">
        <v>419</v>
      </c>
      <c r="C256" s="34">
        <v>208</v>
      </c>
      <c r="D256" s="34">
        <v>28</v>
      </c>
      <c r="E256" s="35">
        <v>75.099999999999994</v>
      </c>
      <c r="F256" s="97" t="s">
        <v>49</v>
      </c>
      <c r="G256" s="36" t="s">
        <v>242</v>
      </c>
      <c r="H256" s="39">
        <v>75.099999999999994</v>
      </c>
      <c r="I256" s="40">
        <v>40000</v>
      </c>
      <c r="J256" s="41">
        <f t="shared" si="7"/>
        <v>3004000</v>
      </c>
      <c r="K256" s="314"/>
      <c r="L256" s="45"/>
      <c r="M256" s="67"/>
      <c r="N256" s="67"/>
      <c r="O256" s="67"/>
    </row>
    <row r="257" spans="1:15" s="68" customFormat="1" ht="32.25" customHeight="1">
      <c r="A257" s="308"/>
      <c r="B257" s="33" t="s">
        <v>419</v>
      </c>
      <c r="C257" s="34">
        <v>210</v>
      </c>
      <c r="D257" s="34">
        <v>28</v>
      </c>
      <c r="E257" s="35">
        <v>132.19999999999999</v>
      </c>
      <c r="F257" s="97" t="s">
        <v>49</v>
      </c>
      <c r="G257" s="36" t="s">
        <v>242</v>
      </c>
      <c r="H257" s="39">
        <v>132.19999999999999</v>
      </c>
      <c r="I257" s="40">
        <v>40000</v>
      </c>
      <c r="J257" s="41">
        <f t="shared" si="7"/>
        <v>5288000</v>
      </c>
      <c r="K257" s="314"/>
      <c r="L257" s="45"/>
      <c r="M257" s="67"/>
      <c r="N257" s="67"/>
      <c r="O257" s="67"/>
    </row>
    <row r="258" spans="1:15" s="68" customFormat="1" ht="32.25" customHeight="1">
      <c r="A258" s="308"/>
      <c r="B258" s="33" t="s">
        <v>419</v>
      </c>
      <c r="C258" s="34">
        <v>275</v>
      </c>
      <c r="D258" s="34">
        <v>28</v>
      </c>
      <c r="E258" s="35">
        <v>206.2</v>
      </c>
      <c r="F258" s="97" t="s">
        <v>45</v>
      </c>
      <c r="G258" s="36" t="s">
        <v>410</v>
      </c>
      <c r="H258" s="39">
        <v>206.2</v>
      </c>
      <c r="I258" s="40">
        <v>40000</v>
      </c>
      <c r="J258" s="41">
        <f t="shared" si="7"/>
        <v>8248000</v>
      </c>
      <c r="K258" s="314"/>
      <c r="L258" s="45"/>
      <c r="M258" s="67"/>
      <c r="N258" s="67"/>
      <c r="O258" s="67"/>
    </row>
    <row r="259" spans="1:15" s="68" customFormat="1" ht="32.25" customHeight="1">
      <c r="A259" s="308"/>
      <c r="B259" s="33" t="s">
        <v>419</v>
      </c>
      <c r="C259" s="34">
        <v>367</v>
      </c>
      <c r="D259" s="34">
        <v>28</v>
      </c>
      <c r="E259" s="35">
        <v>136.6</v>
      </c>
      <c r="F259" s="97" t="s">
        <v>49</v>
      </c>
      <c r="G259" s="36" t="s">
        <v>410</v>
      </c>
      <c r="H259" s="39">
        <v>136.6</v>
      </c>
      <c r="I259" s="40">
        <v>40000</v>
      </c>
      <c r="J259" s="41">
        <f t="shared" si="7"/>
        <v>5464000</v>
      </c>
      <c r="K259" s="314"/>
      <c r="L259" s="45"/>
      <c r="M259" s="67"/>
      <c r="N259" s="67"/>
      <c r="O259" s="67"/>
    </row>
    <row r="260" spans="1:15" s="68" customFormat="1" ht="32.25" customHeight="1">
      <c r="A260" s="307">
        <v>83</v>
      </c>
      <c r="B260" s="33" t="s">
        <v>420</v>
      </c>
      <c r="C260" s="34">
        <v>147</v>
      </c>
      <c r="D260" s="34">
        <v>28</v>
      </c>
      <c r="E260" s="35">
        <v>178.8</v>
      </c>
      <c r="F260" s="34" t="s">
        <v>45</v>
      </c>
      <c r="G260" s="36" t="s">
        <v>46</v>
      </c>
      <c r="H260" s="39">
        <v>178.8</v>
      </c>
      <c r="I260" s="40">
        <v>40000</v>
      </c>
      <c r="J260" s="41">
        <f t="shared" si="7"/>
        <v>7152000</v>
      </c>
      <c r="K260" s="313">
        <f>SUM(J260:J264)</f>
        <v>43420000</v>
      </c>
      <c r="L260" s="45"/>
      <c r="M260" s="67"/>
      <c r="N260" s="67"/>
      <c r="O260" s="67"/>
    </row>
    <row r="261" spans="1:15" s="68" customFormat="1" ht="32.25" customHeight="1">
      <c r="A261" s="308"/>
      <c r="B261" s="33" t="s">
        <v>420</v>
      </c>
      <c r="C261" s="34">
        <v>145</v>
      </c>
      <c r="D261" s="34">
        <v>28</v>
      </c>
      <c r="E261" s="35">
        <v>555.79999999999995</v>
      </c>
      <c r="F261" s="34" t="s">
        <v>45</v>
      </c>
      <c r="G261" s="36" t="s">
        <v>46</v>
      </c>
      <c r="H261" s="39">
        <v>37.200000000000003</v>
      </c>
      <c r="I261" s="40">
        <v>40000</v>
      </c>
      <c r="J261" s="41">
        <f t="shared" si="7"/>
        <v>1488000</v>
      </c>
      <c r="K261" s="314"/>
      <c r="L261" s="45"/>
      <c r="M261" s="67"/>
      <c r="N261" s="67"/>
      <c r="O261" s="67"/>
    </row>
    <row r="262" spans="1:15" s="68" customFormat="1" ht="32.25" customHeight="1">
      <c r="A262" s="308"/>
      <c r="B262" s="33" t="s">
        <v>420</v>
      </c>
      <c r="C262" s="34">
        <v>250</v>
      </c>
      <c r="D262" s="34">
        <v>21</v>
      </c>
      <c r="E262" s="35">
        <v>274.7</v>
      </c>
      <c r="F262" s="34" t="s">
        <v>45</v>
      </c>
      <c r="G262" s="36" t="s">
        <v>227</v>
      </c>
      <c r="H262" s="39">
        <v>274.7</v>
      </c>
      <c r="I262" s="40">
        <v>40000</v>
      </c>
      <c r="J262" s="41">
        <f t="shared" si="7"/>
        <v>10988000</v>
      </c>
      <c r="K262" s="314"/>
      <c r="L262" s="45"/>
      <c r="M262" s="67"/>
      <c r="N262" s="67"/>
      <c r="O262" s="67"/>
    </row>
    <row r="263" spans="1:15" s="68" customFormat="1" ht="32.25" customHeight="1">
      <c r="A263" s="308"/>
      <c r="B263" s="33" t="s">
        <v>420</v>
      </c>
      <c r="C263" s="34">
        <v>17</v>
      </c>
      <c r="D263" s="34">
        <v>28</v>
      </c>
      <c r="E263" s="35">
        <v>594.79999999999995</v>
      </c>
      <c r="F263" s="34" t="s">
        <v>45</v>
      </c>
      <c r="G263" s="36" t="s">
        <v>54</v>
      </c>
      <c r="H263" s="39">
        <v>594.79999999999995</v>
      </c>
      <c r="I263" s="40">
        <v>40000</v>
      </c>
      <c r="J263" s="41">
        <f t="shared" si="7"/>
        <v>23792000</v>
      </c>
      <c r="K263" s="314"/>
      <c r="L263" s="45"/>
      <c r="M263" s="67"/>
      <c r="N263" s="67"/>
      <c r="O263" s="67"/>
    </row>
    <row r="264" spans="1:15" s="68" customFormat="1" ht="32.25" customHeight="1">
      <c r="A264" s="308"/>
      <c r="B264" s="33" t="s">
        <v>420</v>
      </c>
      <c r="C264" s="34">
        <v>17</v>
      </c>
      <c r="D264" s="34">
        <v>28</v>
      </c>
      <c r="E264" s="35">
        <v>594.79999999999995</v>
      </c>
      <c r="F264" s="34" t="s">
        <v>45</v>
      </c>
      <c r="G264" s="36" t="s">
        <v>54</v>
      </c>
      <c r="H264" s="39"/>
      <c r="I264" s="40">
        <v>40000</v>
      </c>
      <c r="J264" s="41">
        <f t="shared" si="7"/>
        <v>0</v>
      </c>
      <c r="K264" s="314"/>
      <c r="L264" s="45"/>
      <c r="M264" s="67"/>
      <c r="N264" s="67"/>
      <c r="O264" s="67"/>
    </row>
    <row r="265" spans="1:15" s="68" customFormat="1" ht="32.25" customHeight="1">
      <c r="A265" s="308"/>
      <c r="B265" s="33" t="s">
        <v>420</v>
      </c>
      <c r="C265" s="34">
        <v>294</v>
      </c>
      <c r="D265" s="34">
        <v>28</v>
      </c>
      <c r="E265" s="35">
        <v>96.8</v>
      </c>
      <c r="F265" s="34" t="s">
        <v>49</v>
      </c>
      <c r="G265" s="36" t="s">
        <v>109</v>
      </c>
      <c r="H265" s="39">
        <v>96.8</v>
      </c>
      <c r="I265" s="40">
        <v>40000</v>
      </c>
      <c r="J265" s="41">
        <f t="shared" si="7"/>
        <v>3872000</v>
      </c>
      <c r="K265" s="313">
        <f>SUM(J265:J272)</f>
        <v>64028000</v>
      </c>
      <c r="L265" s="45"/>
      <c r="M265" s="67"/>
      <c r="N265" s="67"/>
      <c r="O265" s="67"/>
    </row>
    <row r="266" spans="1:15" s="68" customFormat="1" ht="81.75" customHeight="1">
      <c r="A266" s="32">
        <v>84</v>
      </c>
      <c r="B266" s="33" t="s">
        <v>424</v>
      </c>
      <c r="C266" s="34">
        <v>30</v>
      </c>
      <c r="D266" s="34">
        <v>28</v>
      </c>
      <c r="E266" s="35">
        <v>336.9</v>
      </c>
      <c r="F266" s="34" t="s">
        <v>45</v>
      </c>
      <c r="G266" s="36" t="s">
        <v>60</v>
      </c>
      <c r="H266" s="39">
        <v>336.9</v>
      </c>
      <c r="I266" s="40">
        <v>40000</v>
      </c>
      <c r="J266" s="41">
        <f t="shared" si="7"/>
        <v>13476000</v>
      </c>
      <c r="K266" s="314"/>
      <c r="L266" s="45"/>
      <c r="M266" s="67"/>
      <c r="N266" s="67"/>
      <c r="O266" s="67"/>
    </row>
    <row r="267" spans="1:15" s="68" customFormat="1" ht="42" customHeight="1">
      <c r="A267" s="307">
        <v>85</v>
      </c>
      <c r="B267" s="33" t="s">
        <v>425</v>
      </c>
      <c r="C267" s="34">
        <v>75</v>
      </c>
      <c r="D267" s="34">
        <v>28</v>
      </c>
      <c r="E267" s="35">
        <v>408.7</v>
      </c>
      <c r="F267" s="34" t="s">
        <v>45</v>
      </c>
      <c r="G267" s="36" t="s">
        <v>60</v>
      </c>
      <c r="H267" s="39">
        <v>364.6</v>
      </c>
      <c r="I267" s="40">
        <v>40000</v>
      </c>
      <c r="J267" s="41">
        <f t="shared" si="7"/>
        <v>14584000</v>
      </c>
      <c r="K267" s="314"/>
      <c r="L267" s="45"/>
      <c r="M267" s="67"/>
      <c r="N267" s="67"/>
      <c r="O267" s="67"/>
    </row>
    <row r="268" spans="1:15" s="68" customFormat="1" ht="42" customHeight="1">
      <c r="A268" s="308"/>
      <c r="B268" s="33" t="s">
        <v>425</v>
      </c>
      <c r="C268" s="34">
        <v>74</v>
      </c>
      <c r="D268" s="34">
        <v>28</v>
      </c>
      <c r="E268" s="35">
        <v>471.5</v>
      </c>
      <c r="F268" s="34" t="s">
        <v>45</v>
      </c>
      <c r="G268" s="36" t="s">
        <v>60</v>
      </c>
      <c r="H268" s="39">
        <v>116.8</v>
      </c>
      <c r="I268" s="40">
        <v>40000</v>
      </c>
      <c r="J268" s="41">
        <f t="shared" ref="J268:J331" si="8">H268*I268</f>
        <v>4672000</v>
      </c>
      <c r="K268" s="314"/>
      <c r="L268" s="45"/>
      <c r="M268" s="67"/>
      <c r="N268" s="67"/>
      <c r="O268" s="67"/>
    </row>
    <row r="269" spans="1:15" s="68" customFormat="1" ht="42" customHeight="1">
      <c r="A269" s="308"/>
      <c r="B269" s="33" t="s">
        <v>425</v>
      </c>
      <c r="C269" s="95">
        <v>153</v>
      </c>
      <c r="D269" s="95">
        <v>28</v>
      </c>
      <c r="E269" s="158">
        <v>114.3</v>
      </c>
      <c r="F269" s="95" t="s">
        <v>55</v>
      </c>
      <c r="G269" s="77" t="s">
        <v>60</v>
      </c>
      <c r="H269" s="39">
        <v>114.3</v>
      </c>
      <c r="I269" s="40">
        <v>40000</v>
      </c>
      <c r="J269" s="41">
        <f t="shared" si="8"/>
        <v>4572000</v>
      </c>
      <c r="K269" s="314"/>
      <c r="L269" s="45"/>
      <c r="M269" s="67"/>
      <c r="N269" s="67"/>
      <c r="O269" s="67"/>
    </row>
    <row r="270" spans="1:15" s="68" customFormat="1" ht="42" customHeight="1">
      <c r="A270" s="308"/>
      <c r="B270" s="33" t="s">
        <v>425</v>
      </c>
      <c r="C270" s="34"/>
      <c r="D270" s="34"/>
      <c r="E270" s="35"/>
      <c r="F270" s="34"/>
      <c r="G270" s="36"/>
      <c r="H270" s="39">
        <v>125.7</v>
      </c>
      <c r="I270" s="40">
        <v>40000</v>
      </c>
      <c r="J270" s="41">
        <f t="shared" si="8"/>
        <v>5028000</v>
      </c>
      <c r="K270" s="314"/>
      <c r="L270" s="45"/>
      <c r="M270" s="67"/>
      <c r="N270" s="67"/>
      <c r="O270" s="67"/>
    </row>
    <row r="271" spans="1:15" s="68" customFormat="1" ht="42" customHeight="1">
      <c r="A271" s="308"/>
      <c r="B271" s="33" t="s">
        <v>425</v>
      </c>
      <c r="C271" s="34">
        <v>195</v>
      </c>
      <c r="D271" s="34">
        <v>28</v>
      </c>
      <c r="E271" s="35">
        <v>349.5</v>
      </c>
      <c r="F271" s="34" t="s">
        <v>45</v>
      </c>
      <c r="G271" s="36" t="s">
        <v>60</v>
      </c>
      <c r="H271" s="39">
        <v>266.60000000000002</v>
      </c>
      <c r="I271" s="40">
        <v>40000</v>
      </c>
      <c r="J271" s="41">
        <f t="shared" si="8"/>
        <v>10664000</v>
      </c>
      <c r="K271" s="314"/>
      <c r="L271" s="45"/>
      <c r="M271" s="67"/>
      <c r="N271" s="67"/>
      <c r="O271" s="67"/>
    </row>
    <row r="272" spans="1:15" s="68" customFormat="1" ht="42" customHeight="1">
      <c r="A272" s="308"/>
      <c r="B272" s="33" t="s">
        <v>425</v>
      </c>
      <c r="C272" s="34">
        <v>196</v>
      </c>
      <c r="D272" s="34">
        <v>28</v>
      </c>
      <c r="E272" s="35">
        <v>232.9</v>
      </c>
      <c r="F272" s="34" t="s">
        <v>45</v>
      </c>
      <c r="G272" s="36" t="s">
        <v>60</v>
      </c>
      <c r="H272" s="39">
        <v>179</v>
      </c>
      <c r="I272" s="40">
        <v>40000</v>
      </c>
      <c r="J272" s="41">
        <f t="shared" si="8"/>
        <v>7160000</v>
      </c>
      <c r="K272" s="315"/>
      <c r="L272" s="45"/>
      <c r="M272" s="67"/>
      <c r="N272" s="67"/>
      <c r="O272" s="67"/>
    </row>
    <row r="273" spans="1:15" s="47" customFormat="1" ht="42" customHeight="1">
      <c r="A273" s="309"/>
      <c r="B273" s="33" t="s">
        <v>425</v>
      </c>
      <c r="C273" s="34">
        <v>363</v>
      </c>
      <c r="D273" s="34">
        <v>28</v>
      </c>
      <c r="E273" s="35">
        <v>72.3</v>
      </c>
      <c r="F273" s="34" t="s">
        <v>49</v>
      </c>
      <c r="G273" s="36" t="s">
        <v>57</v>
      </c>
      <c r="H273" s="39">
        <v>72.3</v>
      </c>
      <c r="I273" s="40">
        <v>40000</v>
      </c>
      <c r="J273" s="41">
        <f t="shared" si="8"/>
        <v>2892000</v>
      </c>
      <c r="K273" s="313">
        <f>SUM(J273:J278)</f>
        <v>50168000</v>
      </c>
      <c r="L273" s="45"/>
      <c r="M273" s="46"/>
      <c r="N273" s="46"/>
      <c r="O273" s="46"/>
    </row>
    <row r="274" spans="1:15" s="47" customFormat="1" ht="42" customHeight="1">
      <c r="A274" s="307">
        <v>86</v>
      </c>
      <c r="B274" s="33" t="s">
        <v>426</v>
      </c>
      <c r="C274" s="34">
        <v>175</v>
      </c>
      <c r="D274" s="34">
        <v>21</v>
      </c>
      <c r="E274" s="35">
        <v>135.4</v>
      </c>
      <c r="F274" s="34" t="s">
        <v>45</v>
      </c>
      <c r="G274" s="36" t="s">
        <v>260</v>
      </c>
      <c r="H274" s="39">
        <v>135.4</v>
      </c>
      <c r="I274" s="40">
        <v>40000</v>
      </c>
      <c r="J274" s="41">
        <f t="shared" si="8"/>
        <v>5416000</v>
      </c>
      <c r="K274" s="314"/>
      <c r="L274" s="45"/>
      <c r="M274" s="46"/>
      <c r="N274" s="46"/>
      <c r="O274" s="46"/>
    </row>
    <row r="275" spans="1:15" s="47" customFormat="1" ht="42" customHeight="1">
      <c r="A275" s="308"/>
      <c r="B275" s="33" t="s">
        <v>426</v>
      </c>
      <c r="C275" s="34">
        <v>278</v>
      </c>
      <c r="D275" s="34">
        <v>28</v>
      </c>
      <c r="E275" s="35">
        <v>138.1</v>
      </c>
      <c r="F275" s="34" t="s">
        <v>45</v>
      </c>
      <c r="G275" s="36" t="s">
        <v>109</v>
      </c>
      <c r="H275" s="39">
        <v>138.1</v>
      </c>
      <c r="I275" s="40">
        <v>40000</v>
      </c>
      <c r="J275" s="41">
        <f t="shared" si="8"/>
        <v>5524000</v>
      </c>
      <c r="K275" s="314"/>
      <c r="L275" s="45"/>
      <c r="M275" s="46"/>
      <c r="N275" s="46"/>
      <c r="O275" s="46"/>
    </row>
    <row r="276" spans="1:15" s="47" customFormat="1" ht="42" customHeight="1">
      <c r="A276" s="308"/>
      <c r="B276" s="33" t="s">
        <v>426</v>
      </c>
      <c r="C276" s="34">
        <v>298</v>
      </c>
      <c r="D276" s="34">
        <v>28</v>
      </c>
      <c r="E276" s="35">
        <v>107.9</v>
      </c>
      <c r="F276" s="34" t="s">
        <v>49</v>
      </c>
      <c r="G276" s="36" t="s">
        <v>111</v>
      </c>
      <c r="H276" s="39">
        <v>107.9</v>
      </c>
      <c r="I276" s="40">
        <v>40000</v>
      </c>
      <c r="J276" s="41">
        <f t="shared" si="8"/>
        <v>4316000</v>
      </c>
      <c r="K276" s="314"/>
      <c r="L276" s="45"/>
      <c r="M276" s="46"/>
      <c r="N276" s="46"/>
      <c r="O276" s="46"/>
    </row>
    <row r="277" spans="1:15" s="47" customFormat="1" ht="42" customHeight="1">
      <c r="A277" s="308"/>
      <c r="B277" s="33" t="s">
        <v>426</v>
      </c>
      <c r="C277" s="34">
        <v>353</v>
      </c>
      <c r="D277" s="34">
        <v>28</v>
      </c>
      <c r="E277" s="35">
        <v>125.2</v>
      </c>
      <c r="F277" s="34" t="s">
        <v>49</v>
      </c>
      <c r="G277" s="36" t="s">
        <v>111</v>
      </c>
      <c r="H277" s="39">
        <v>125.2</v>
      </c>
      <c r="I277" s="40">
        <v>40000</v>
      </c>
      <c r="J277" s="41">
        <f t="shared" si="8"/>
        <v>5008000</v>
      </c>
      <c r="K277" s="314"/>
      <c r="L277" s="45"/>
      <c r="M277" s="46"/>
      <c r="N277" s="46"/>
      <c r="O277" s="46"/>
    </row>
    <row r="278" spans="1:15" s="47" customFormat="1" ht="42" customHeight="1">
      <c r="A278" s="308"/>
      <c r="B278" s="33" t="s">
        <v>426</v>
      </c>
      <c r="C278" s="34">
        <v>377</v>
      </c>
      <c r="D278" s="34">
        <v>28</v>
      </c>
      <c r="E278" s="35">
        <v>675.3</v>
      </c>
      <c r="F278" s="34" t="s">
        <v>49</v>
      </c>
      <c r="G278" s="36" t="s">
        <v>427</v>
      </c>
      <c r="H278" s="39">
        <v>675.3</v>
      </c>
      <c r="I278" s="40">
        <v>40000</v>
      </c>
      <c r="J278" s="41">
        <f t="shared" si="8"/>
        <v>27012000</v>
      </c>
      <c r="K278" s="314"/>
      <c r="L278" s="45"/>
      <c r="M278" s="46"/>
      <c r="N278" s="46"/>
      <c r="O278" s="46"/>
    </row>
    <row r="279" spans="1:15" s="47" customFormat="1" ht="42" customHeight="1">
      <c r="A279" s="308"/>
      <c r="B279" s="33" t="s">
        <v>426</v>
      </c>
      <c r="C279" s="34">
        <v>382</v>
      </c>
      <c r="D279" s="34">
        <v>28</v>
      </c>
      <c r="E279" s="35">
        <v>216.5</v>
      </c>
      <c r="F279" s="34" t="s">
        <v>49</v>
      </c>
      <c r="G279" s="36" t="s">
        <v>111</v>
      </c>
      <c r="H279" s="39">
        <v>216.5</v>
      </c>
      <c r="I279" s="40">
        <v>40000</v>
      </c>
      <c r="J279" s="41">
        <f t="shared" si="8"/>
        <v>8660000</v>
      </c>
      <c r="K279" s="313">
        <f>SUM(J279:J284)</f>
        <v>67096000</v>
      </c>
      <c r="L279" s="56"/>
      <c r="M279" s="46"/>
      <c r="N279" s="46"/>
      <c r="O279" s="46"/>
    </row>
    <row r="280" spans="1:15" s="47" customFormat="1" ht="36.75" customHeight="1">
      <c r="A280" s="307">
        <v>87</v>
      </c>
      <c r="B280" s="33" t="s">
        <v>429</v>
      </c>
      <c r="C280" s="34">
        <v>228</v>
      </c>
      <c r="D280" s="34">
        <v>28</v>
      </c>
      <c r="E280" s="35">
        <v>687.8</v>
      </c>
      <c r="F280" s="34" t="s">
        <v>45</v>
      </c>
      <c r="G280" s="36" t="s">
        <v>46</v>
      </c>
      <c r="H280" s="39">
        <v>687.8</v>
      </c>
      <c r="I280" s="40">
        <v>40000</v>
      </c>
      <c r="J280" s="41">
        <f t="shared" si="8"/>
        <v>27512000</v>
      </c>
      <c r="K280" s="314"/>
      <c r="L280" s="81"/>
      <c r="M280" s="46"/>
      <c r="N280" s="46"/>
      <c r="O280" s="46"/>
    </row>
    <row r="281" spans="1:15" s="47" customFormat="1" ht="36.75" customHeight="1">
      <c r="A281" s="308"/>
      <c r="B281" s="33" t="s">
        <v>429</v>
      </c>
      <c r="C281" s="34">
        <v>453</v>
      </c>
      <c r="D281" s="34">
        <v>28</v>
      </c>
      <c r="E281" s="35">
        <v>172</v>
      </c>
      <c r="F281" s="34" t="s">
        <v>49</v>
      </c>
      <c r="G281" s="36" t="s">
        <v>410</v>
      </c>
      <c r="H281" s="39">
        <v>172</v>
      </c>
      <c r="I281" s="40">
        <v>40000</v>
      </c>
      <c r="J281" s="41">
        <f t="shared" si="8"/>
        <v>6880000</v>
      </c>
      <c r="K281" s="314"/>
      <c r="L281" s="45"/>
      <c r="M281" s="46"/>
      <c r="N281" s="46"/>
      <c r="O281" s="46"/>
    </row>
    <row r="282" spans="1:15" s="47" customFormat="1" ht="36.75" customHeight="1">
      <c r="A282" s="308"/>
      <c r="B282" s="33" t="s">
        <v>429</v>
      </c>
      <c r="C282" s="34">
        <v>452</v>
      </c>
      <c r="D282" s="34">
        <v>28</v>
      </c>
      <c r="E282" s="35">
        <v>102.2</v>
      </c>
      <c r="F282" s="34" t="s">
        <v>49</v>
      </c>
      <c r="G282" s="36" t="s">
        <v>410</v>
      </c>
      <c r="H282" s="39">
        <v>102.2</v>
      </c>
      <c r="I282" s="40">
        <v>40000</v>
      </c>
      <c r="J282" s="41">
        <f t="shared" si="8"/>
        <v>4088000</v>
      </c>
      <c r="K282" s="314"/>
      <c r="L282" s="45"/>
      <c r="M282" s="46"/>
      <c r="N282" s="46"/>
      <c r="O282" s="46"/>
    </row>
    <row r="283" spans="1:15" s="47" customFormat="1" ht="36.75" customHeight="1">
      <c r="A283" s="308"/>
      <c r="B283" s="33" t="s">
        <v>429</v>
      </c>
      <c r="C283" s="34">
        <v>384</v>
      </c>
      <c r="D283" s="34">
        <v>28</v>
      </c>
      <c r="E283" s="35">
        <v>15.1</v>
      </c>
      <c r="F283" s="34" t="s">
        <v>49</v>
      </c>
      <c r="G283" s="36" t="s">
        <v>410</v>
      </c>
      <c r="H283" s="39">
        <v>15.1</v>
      </c>
      <c r="I283" s="40">
        <v>40000</v>
      </c>
      <c r="J283" s="41">
        <f t="shared" si="8"/>
        <v>604000</v>
      </c>
      <c r="K283" s="314"/>
      <c r="L283" s="45"/>
      <c r="M283" s="46"/>
      <c r="N283" s="46"/>
      <c r="O283" s="46"/>
    </row>
    <row r="284" spans="1:15" s="47" customFormat="1" ht="36.75" customHeight="1">
      <c r="A284" s="308"/>
      <c r="B284" s="33" t="s">
        <v>429</v>
      </c>
      <c r="C284" s="34">
        <v>202</v>
      </c>
      <c r="D284" s="34">
        <v>21</v>
      </c>
      <c r="E284" s="35">
        <v>483.8</v>
      </c>
      <c r="F284" s="34" t="s">
        <v>49</v>
      </c>
      <c r="G284" s="36" t="s">
        <v>260</v>
      </c>
      <c r="H284" s="39">
        <v>483.8</v>
      </c>
      <c r="I284" s="40">
        <v>40000</v>
      </c>
      <c r="J284" s="41">
        <f t="shared" si="8"/>
        <v>19352000</v>
      </c>
      <c r="K284" s="315"/>
      <c r="L284" s="45"/>
      <c r="M284" s="46"/>
      <c r="N284" s="46"/>
      <c r="O284" s="46"/>
    </row>
    <row r="285" spans="1:15" s="68" customFormat="1" ht="36.75" customHeight="1">
      <c r="A285" s="309"/>
      <c r="B285" s="33" t="s">
        <v>429</v>
      </c>
      <c r="C285" s="34">
        <v>25</v>
      </c>
      <c r="D285" s="34">
        <v>28</v>
      </c>
      <c r="E285" s="35">
        <v>49.2</v>
      </c>
      <c r="F285" s="34" t="s">
        <v>55</v>
      </c>
      <c r="G285" s="36" t="s">
        <v>227</v>
      </c>
      <c r="H285" s="39">
        <v>49.2</v>
      </c>
      <c r="I285" s="40">
        <v>40000</v>
      </c>
      <c r="J285" s="41">
        <f t="shared" si="8"/>
        <v>1968000</v>
      </c>
      <c r="K285" s="313">
        <f>SUM(J285:J290)</f>
        <v>39248000</v>
      </c>
      <c r="L285" s="45"/>
      <c r="M285" s="67"/>
      <c r="N285" s="67"/>
      <c r="O285" s="67"/>
    </row>
    <row r="286" spans="1:15" s="68" customFormat="1" ht="50.25" customHeight="1">
      <c r="A286" s="307">
        <v>88</v>
      </c>
      <c r="B286" s="33" t="s">
        <v>431</v>
      </c>
      <c r="C286" s="34">
        <v>207</v>
      </c>
      <c r="D286" s="34">
        <v>21</v>
      </c>
      <c r="E286" s="35">
        <v>358.3</v>
      </c>
      <c r="F286" s="34" t="s">
        <v>45</v>
      </c>
      <c r="G286" s="36" t="s">
        <v>260</v>
      </c>
      <c r="H286" s="39">
        <v>358.3</v>
      </c>
      <c r="I286" s="40">
        <v>40000</v>
      </c>
      <c r="J286" s="41">
        <f t="shared" si="8"/>
        <v>14332000</v>
      </c>
      <c r="K286" s="314"/>
      <c r="L286" s="45"/>
      <c r="M286" s="67"/>
      <c r="N286" s="67"/>
      <c r="O286" s="67"/>
    </row>
    <row r="287" spans="1:15" s="68" customFormat="1" ht="50.25" customHeight="1">
      <c r="A287" s="308"/>
      <c r="B287" s="33" t="s">
        <v>431</v>
      </c>
      <c r="C287" s="34">
        <v>154</v>
      </c>
      <c r="D287" s="34">
        <v>28</v>
      </c>
      <c r="E287" s="35">
        <v>197.4</v>
      </c>
      <c r="F287" s="34" t="s">
        <v>45</v>
      </c>
      <c r="G287" s="36" t="s">
        <v>50</v>
      </c>
      <c r="H287" s="39">
        <v>60</v>
      </c>
      <c r="I287" s="40">
        <v>40000</v>
      </c>
      <c r="J287" s="41">
        <f t="shared" si="8"/>
        <v>2400000</v>
      </c>
      <c r="K287" s="314"/>
      <c r="L287" s="45"/>
      <c r="M287" s="67"/>
      <c r="N287" s="67"/>
      <c r="O287" s="67"/>
    </row>
    <row r="288" spans="1:15" s="68" customFormat="1" ht="50.25" customHeight="1">
      <c r="A288" s="308"/>
      <c r="B288" s="33" t="s">
        <v>431</v>
      </c>
      <c r="C288" s="34">
        <v>139</v>
      </c>
      <c r="D288" s="34">
        <v>28</v>
      </c>
      <c r="E288" s="35">
        <v>115.1</v>
      </c>
      <c r="F288" s="34" t="s">
        <v>45</v>
      </c>
      <c r="G288" s="36" t="s">
        <v>50</v>
      </c>
      <c r="H288" s="39">
        <v>115.1</v>
      </c>
      <c r="I288" s="40">
        <v>40000</v>
      </c>
      <c r="J288" s="41">
        <f t="shared" si="8"/>
        <v>4604000</v>
      </c>
      <c r="K288" s="314"/>
      <c r="L288" s="81"/>
      <c r="M288" s="67"/>
      <c r="N288" s="67"/>
      <c r="O288" s="67"/>
    </row>
    <row r="289" spans="1:16" s="68" customFormat="1" ht="50.25" customHeight="1">
      <c r="A289" s="308"/>
      <c r="B289" s="33" t="s">
        <v>431</v>
      </c>
      <c r="C289" s="34">
        <v>281</v>
      </c>
      <c r="D289" s="34">
        <v>28</v>
      </c>
      <c r="E289" s="35">
        <v>241.3</v>
      </c>
      <c r="F289" s="34" t="s">
        <v>49</v>
      </c>
      <c r="G289" s="36" t="s">
        <v>50</v>
      </c>
      <c r="H289" s="39">
        <v>241.3</v>
      </c>
      <c r="I289" s="40">
        <v>40000</v>
      </c>
      <c r="J289" s="41">
        <f t="shared" si="8"/>
        <v>9652000</v>
      </c>
      <c r="K289" s="314"/>
      <c r="L289" s="45"/>
      <c r="M289" s="67"/>
      <c r="N289" s="67"/>
      <c r="O289" s="67"/>
    </row>
    <row r="290" spans="1:16" s="68" customFormat="1" ht="50.25" customHeight="1">
      <c r="A290" s="308"/>
      <c r="B290" s="33" t="s">
        <v>431</v>
      </c>
      <c r="C290" s="34">
        <v>289</v>
      </c>
      <c r="D290" s="34">
        <v>28</v>
      </c>
      <c r="E290" s="35">
        <v>157.30000000000001</v>
      </c>
      <c r="F290" s="34" t="s">
        <v>49</v>
      </c>
      <c r="G290" s="36" t="s">
        <v>50</v>
      </c>
      <c r="H290" s="39">
        <v>157.30000000000001</v>
      </c>
      <c r="I290" s="40">
        <v>40000</v>
      </c>
      <c r="J290" s="41">
        <f t="shared" si="8"/>
        <v>6292000</v>
      </c>
      <c r="K290" s="314"/>
      <c r="L290" s="45"/>
      <c r="M290" s="67"/>
      <c r="N290" s="67"/>
      <c r="O290" s="67"/>
    </row>
    <row r="291" spans="1:16" s="47" customFormat="1" ht="50.25" customHeight="1">
      <c r="A291" s="308"/>
      <c r="B291" s="33" t="s">
        <v>431</v>
      </c>
      <c r="C291" s="34">
        <v>301</v>
      </c>
      <c r="D291" s="34">
        <v>28</v>
      </c>
      <c r="E291" s="35">
        <v>313.89999999999998</v>
      </c>
      <c r="F291" s="34" t="s">
        <v>45</v>
      </c>
      <c r="G291" s="36" t="s">
        <v>198</v>
      </c>
      <c r="H291" s="39">
        <v>313.89999999999998</v>
      </c>
      <c r="I291" s="40">
        <v>40000</v>
      </c>
      <c r="J291" s="41">
        <f t="shared" si="8"/>
        <v>12556000</v>
      </c>
      <c r="K291" s="64">
        <f>J291</f>
        <v>12556000</v>
      </c>
      <c r="L291" s="45"/>
      <c r="M291" s="46"/>
      <c r="N291" s="46"/>
      <c r="O291" s="46"/>
    </row>
    <row r="292" spans="1:16" s="68" customFormat="1" ht="50.25" customHeight="1">
      <c r="A292" s="32">
        <v>89</v>
      </c>
      <c r="B292" s="33" t="s">
        <v>434</v>
      </c>
      <c r="C292" s="34" t="s">
        <v>435</v>
      </c>
      <c r="D292" s="34" t="s">
        <v>99</v>
      </c>
      <c r="E292" s="35">
        <v>147.69999999999999</v>
      </c>
      <c r="F292" s="34" t="s">
        <v>49</v>
      </c>
      <c r="G292" s="36" t="s">
        <v>111</v>
      </c>
      <c r="H292" s="39">
        <v>147.69999999999999</v>
      </c>
      <c r="I292" s="40">
        <v>40000</v>
      </c>
      <c r="J292" s="41">
        <f t="shared" si="8"/>
        <v>5908000</v>
      </c>
      <c r="K292" s="313">
        <f>SUM(J292:J295)</f>
        <v>44780000</v>
      </c>
      <c r="L292" s="45"/>
      <c r="M292" s="67"/>
      <c r="N292" s="67"/>
      <c r="O292" s="67"/>
    </row>
    <row r="293" spans="1:16" s="68" customFormat="1" ht="50.25" customHeight="1">
      <c r="A293" s="307">
        <v>90</v>
      </c>
      <c r="B293" s="33" t="s">
        <v>437</v>
      </c>
      <c r="C293" s="34" t="s">
        <v>438</v>
      </c>
      <c r="D293" s="34" t="s">
        <v>96</v>
      </c>
      <c r="E293" s="35">
        <v>628.9</v>
      </c>
      <c r="F293" s="34" t="s">
        <v>45</v>
      </c>
      <c r="G293" s="36" t="s">
        <v>54</v>
      </c>
      <c r="H293" s="39">
        <v>628.9</v>
      </c>
      <c r="I293" s="40">
        <v>40000</v>
      </c>
      <c r="J293" s="41">
        <f t="shared" si="8"/>
        <v>25156000</v>
      </c>
      <c r="K293" s="314"/>
      <c r="L293" s="45"/>
      <c r="M293" s="67"/>
      <c r="N293" s="67"/>
      <c r="O293" s="67"/>
    </row>
    <row r="294" spans="1:16" s="68" customFormat="1" ht="50.25" customHeight="1">
      <c r="A294" s="308"/>
      <c r="B294" s="33" t="s">
        <v>437</v>
      </c>
      <c r="C294" s="34" t="s">
        <v>439</v>
      </c>
      <c r="D294" s="34" t="s">
        <v>99</v>
      </c>
      <c r="E294" s="35">
        <v>216</v>
      </c>
      <c r="F294" s="34" t="s">
        <v>49</v>
      </c>
      <c r="G294" s="36" t="s">
        <v>242</v>
      </c>
      <c r="H294" s="39">
        <v>216</v>
      </c>
      <c r="I294" s="40">
        <v>40000</v>
      </c>
      <c r="J294" s="41">
        <f t="shared" si="8"/>
        <v>8640000</v>
      </c>
      <c r="K294" s="314"/>
      <c r="L294" s="45"/>
      <c r="M294" s="67"/>
      <c r="N294" s="67"/>
      <c r="O294" s="67"/>
    </row>
    <row r="295" spans="1:16" s="47" customFormat="1" ht="50.25" customHeight="1">
      <c r="A295" s="308"/>
      <c r="B295" s="33" t="s">
        <v>437</v>
      </c>
      <c r="C295" s="34" t="s">
        <v>440</v>
      </c>
      <c r="D295" s="34" t="s">
        <v>99</v>
      </c>
      <c r="E295" s="35">
        <v>126.9</v>
      </c>
      <c r="F295" s="34" t="s">
        <v>49</v>
      </c>
      <c r="G295" s="36" t="s">
        <v>242</v>
      </c>
      <c r="H295" s="39">
        <v>126.9</v>
      </c>
      <c r="I295" s="40">
        <v>40000</v>
      </c>
      <c r="J295" s="41">
        <f t="shared" si="8"/>
        <v>5076000</v>
      </c>
      <c r="K295" s="314"/>
      <c r="L295" s="45"/>
      <c r="M295" s="46"/>
      <c r="N295" s="46"/>
      <c r="O295" s="46"/>
    </row>
    <row r="296" spans="1:16" s="68" customFormat="1" ht="50.25" customHeight="1">
      <c r="A296" s="308"/>
      <c r="B296" s="33" t="s">
        <v>437</v>
      </c>
      <c r="C296" s="34">
        <v>78</v>
      </c>
      <c r="D296" s="34">
        <v>28</v>
      </c>
      <c r="E296" s="35">
        <v>169.5</v>
      </c>
      <c r="F296" s="34" t="s">
        <v>49</v>
      </c>
      <c r="G296" s="36" t="s">
        <v>50</v>
      </c>
      <c r="H296" s="39">
        <v>169.5</v>
      </c>
      <c r="I296" s="40">
        <v>40000</v>
      </c>
      <c r="J296" s="41">
        <f t="shared" si="8"/>
        <v>6780000</v>
      </c>
      <c r="K296" s="313">
        <f>SUM(J296:J298)</f>
        <v>19160000</v>
      </c>
      <c r="L296" s="45"/>
      <c r="M296" s="67"/>
      <c r="N296" s="67"/>
      <c r="O296" s="67"/>
    </row>
    <row r="297" spans="1:16" s="68" customFormat="1" ht="50.25" customHeight="1">
      <c r="A297" s="307">
        <v>91</v>
      </c>
      <c r="B297" s="33" t="s">
        <v>443</v>
      </c>
      <c r="C297" s="34" t="s">
        <v>444</v>
      </c>
      <c r="D297" s="34" t="s">
        <v>99</v>
      </c>
      <c r="E297" s="35">
        <v>191.8</v>
      </c>
      <c r="F297" s="34" t="s">
        <v>49</v>
      </c>
      <c r="G297" s="36" t="s">
        <v>111</v>
      </c>
      <c r="H297" s="39">
        <v>191.8</v>
      </c>
      <c r="I297" s="40">
        <v>40000</v>
      </c>
      <c r="J297" s="41">
        <f t="shared" si="8"/>
        <v>7672000</v>
      </c>
      <c r="K297" s="314"/>
      <c r="L297" s="45"/>
      <c r="M297" s="67"/>
      <c r="N297" s="67"/>
      <c r="O297" s="67"/>
    </row>
    <row r="298" spans="1:16" s="68" customFormat="1" ht="50.25" customHeight="1">
      <c r="A298" s="308"/>
      <c r="B298" s="33" t="s">
        <v>443</v>
      </c>
      <c r="C298" s="34" t="s">
        <v>446</v>
      </c>
      <c r="D298" s="34" t="s">
        <v>99</v>
      </c>
      <c r="E298" s="35">
        <v>117.7</v>
      </c>
      <c r="F298" s="34" t="s">
        <v>49</v>
      </c>
      <c r="G298" s="36" t="s">
        <v>242</v>
      </c>
      <c r="H298" s="39">
        <v>117.7</v>
      </c>
      <c r="I298" s="40">
        <v>40000</v>
      </c>
      <c r="J298" s="41">
        <f t="shared" si="8"/>
        <v>4708000</v>
      </c>
      <c r="K298" s="315"/>
      <c r="L298" s="45"/>
      <c r="M298" s="67"/>
      <c r="N298" s="67"/>
      <c r="O298" s="67"/>
    </row>
    <row r="299" spans="1:16" s="68" customFormat="1" ht="50.25" customHeight="1">
      <c r="A299" s="309"/>
      <c r="B299" s="33" t="s">
        <v>443</v>
      </c>
      <c r="C299" s="34">
        <v>124</v>
      </c>
      <c r="D299" s="34" t="s">
        <v>99</v>
      </c>
      <c r="E299" s="35">
        <v>261.89999999999998</v>
      </c>
      <c r="F299" s="34" t="s">
        <v>55</v>
      </c>
      <c r="G299" s="36" t="s">
        <v>63</v>
      </c>
      <c r="H299" s="39">
        <v>70.900000000000006</v>
      </c>
      <c r="I299" s="40">
        <v>40000</v>
      </c>
      <c r="J299" s="41">
        <f t="shared" si="8"/>
        <v>2836000</v>
      </c>
      <c r="K299" s="313">
        <f>SUM(J299:J301)</f>
        <v>41516000</v>
      </c>
      <c r="L299" s="81"/>
      <c r="M299" s="67"/>
      <c r="N299" s="67"/>
      <c r="O299" s="67"/>
    </row>
    <row r="300" spans="1:16" s="68" customFormat="1" ht="50.25" customHeight="1">
      <c r="A300" s="307">
        <v>92</v>
      </c>
      <c r="B300" s="33" t="s">
        <v>447</v>
      </c>
      <c r="C300" s="34" t="s">
        <v>448</v>
      </c>
      <c r="D300" s="34" t="s">
        <v>99</v>
      </c>
      <c r="E300" s="35">
        <v>432.9</v>
      </c>
      <c r="F300" s="34" t="s">
        <v>45</v>
      </c>
      <c r="G300" s="36" t="s">
        <v>46</v>
      </c>
      <c r="H300" s="39">
        <v>432.9</v>
      </c>
      <c r="I300" s="40">
        <v>40000</v>
      </c>
      <c r="J300" s="41">
        <f t="shared" si="8"/>
        <v>17316000</v>
      </c>
      <c r="K300" s="314"/>
      <c r="L300" s="45"/>
      <c r="M300" s="67"/>
      <c r="N300" s="67"/>
      <c r="O300" s="67"/>
    </row>
    <row r="301" spans="1:16" s="68" customFormat="1" ht="50.25" customHeight="1">
      <c r="A301" s="308"/>
      <c r="B301" s="33" t="s">
        <v>447</v>
      </c>
      <c r="C301" s="34" t="s">
        <v>449</v>
      </c>
      <c r="D301" s="34" t="s">
        <v>96</v>
      </c>
      <c r="E301" s="35">
        <v>534.1</v>
      </c>
      <c r="F301" s="34" t="s">
        <v>45</v>
      </c>
      <c r="G301" s="36" t="s">
        <v>54</v>
      </c>
      <c r="H301" s="39">
        <v>534.1</v>
      </c>
      <c r="I301" s="40">
        <v>40000</v>
      </c>
      <c r="J301" s="41">
        <f t="shared" si="8"/>
        <v>21364000</v>
      </c>
      <c r="K301" s="315"/>
      <c r="L301" s="45"/>
      <c r="M301" s="67"/>
      <c r="N301" s="67"/>
      <c r="O301" s="67"/>
    </row>
    <row r="302" spans="1:16" s="68" customFormat="1" ht="50.25" customHeight="1">
      <c r="A302" s="309"/>
      <c r="B302" s="33" t="s">
        <v>447</v>
      </c>
      <c r="C302" s="34" t="s">
        <v>450</v>
      </c>
      <c r="D302" s="34" t="s">
        <v>99</v>
      </c>
      <c r="E302" s="35">
        <v>337.7</v>
      </c>
      <c r="F302" s="34" t="s">
        <v>49</v>
      </c>
      <c r="G302" s="36" t="s">
        <v>410</v>
      </c>
      <c r="H302" s="39">
        <v>13.3</v>
      </c>
      <c r="I302" s="40">
        <v>40000</v>
      </c>
      <c r="J302" s="41">
        <f t="shared" si="8"/>
        <v>532000</v>
      </c>
      <c r="K302" s="313">
        <f>SUM(J302:J304)</f>
        <v>21240000</v>
      </c>
      <c r="L302" s="81"/>
      <c r="M302" s="319"/>
      <c r="N302" s="67"/>
      <c r="O302" s="67"/>
      <c r="P302" s="67"/>
    </row>
    <row r="303" spans="1:16" s="68" customFormat="1" ht="50.25" customHeight="1">
      <c r="A303" s="307">
        <v>93</v>
      </c>
      <c r="B303" s="33" t="s">
        <v>452</v>
      </c>
      <c r="C303" s="34">
        <v>201</v>
      </c>
      <c r="D303" s="34">
        <v>28</v>
      </c>
      <c r="E303" s="35">
        <v>334.6</v>
      </c>
      <c r="F303" s="34" t="s">
        <v>45</v>
      </c>
      <c r="G303" s="36" t="s">
        <v>46</v>
      </c>
      <c r="H303" s="39">
        <v>334.6</v>
      </c>
      <c r="I303" s="40">
        <v>40000</v>
      </c>
      <c r="J303" s="41">
        <f t="shared" si="8"/>
        <v>13384000</v>
      </c>
      <c r="K303" s="314"/>
      <c r="L303" s="45"/>
      <c r="M303" s="318"/>
      <c r="N303" s="67"/>
      <c r="O303" s="67"/>
      <c r="P303" s="67"/>
    </row>
    <row r="304" spans="1:16" s="68" customFormat="1" ht="50.25" customHeight="1">
      <c r="A304" s="308"/>
      <c r="B304" s="33" t="s">
        <v>452</v>
      </c>
      <c r="C304" s="34">
        <v>389</v>
      </c>
      <c r="D304" s="34">
        <v>28</v>
      </c>
      <c r="E304" s="35">
        <v>183.1</v>
      </c>
      <c r="F304" s="34" t="s">
        <v>49</v>
      </c>
      <c r="G304" s="36" t="s">
        <v>57</v>
      </c>
      <c r="H304" s="39">
        <v>183.1</v>
      </c>
      <c r="I304" s="40">
        <v>40000</v>
      </c>
      <c r="J304" s="41">
        <f t="shared" si="8"/>
        <v>7324000</v>
      </c>
      <c r="K304" s="314"/>
      <c r="L304" s="45"/>
      <c r="M304" s="318"/>
      <c r="N304" s="67"/>
      <c r="O304" s="67"/>
      <c r="P304" s="67"/>
    </row>
    <row r="305" spans="1:16" s="47" customFormat="1" ht="50.25" customHeight="1">
      <c r="A305" s="308"/>
      <c r="B305" s="33" t="s">
        <v>452</v>
      </c>
      <c r="C305" s="34">
        <v>861</v>
      </c>
      <c r="D305" s="34">
        <v>28</v>
      </c>
      <c r="E305" s="35">
        <v>84.2</v>
      </c>
      <c r="F305" s="34" t="s">
        <v>55</v>
      </c>
      <c r="G305" s="36" t="s">
        <v>60</v>
      </c>
      <c r="H305" s="39">
        <v>84.2</v>
      </c>
      <c r="I305" s="40">
        <v>40000</v>
      </c>
      <c r="J305" s="41">
        <f t="shared" si="8"/>
        <v>3368000</v>
      </c>
      <c r="K305" s="76">
        <f>SUM(J305:J305)</f>
        <v>3368000</v>
      </c>
      <c r="L305" s="50"/>
      <c r="M305" s="251"/>
      <c r="N305" s="46"/>
      <c r="O305" s="46"/>
      <c r="P305" s="46"/>
    </row>
    <row r="306" spans="1:16" s="47" customFormat="1" ht="50.25" customHeight="1">
      <c r="A306" s="151">
        <v>94</v>
      </c>
      <c r="B306" s="33" t="s">
        <v>455</v>
      </c>
      <c r="C306" s="34">
        <v>131</v>
      </c>
      <c r="D306" s="34">
        <v>28</v>
      </c>
      <c r="E306" s="35">
        <v>151.30000000000001</v>
      </c>
      <c r="F306" s="34" t="s">
        <v>49</v>
      </c>
      <c r="G306" s="36" t="s">
        <v>50</v>
      </c>
      <c r="H306" s="39">
        <v>151.30000000000001</v>
      </c>
      <c r="I306" s="40">
        <v>40000</v>
      </c>
      <c r="J306" s="41">
        <f t="shared" si="8"/>
        <v>6052000</v>
      </c>
      <c r="K306" s="54">
        <f>J306</f>
        <v>6052000</v>
      </c>
      <c r="L306" s="45"/>
      <c r="M306" s="196"/>
      <c r="N306" s="46"/>
      <c r="O306" s="46"/>
      <c r="P306" s="46"/>
    </row>
    <row r="307" spans="1:16" s="47" customFormat="1" ht="50.25" customHeight="1">
      <c r="A307" s="151">
        <v>95</v>
      </c>
      <c r="B307" s="33" t="s">
        <v>457</v>
      </c>
      <c r="C307" s="34">
        <v>470</v>
      </c>
      <c r="D307" s="34">
        <v>28</v>
      </c>
      <c r="E307" s="35">
        <v>157.69999999999999</v>
      </c>
      <c r="F307" s="34" t="s">
        <v>49</v>
      </c>
      <c r="G307" s="36" t="s">
        <v>57</v>
      </c>
      <c r="H307" s="39">
        <v>157.69999999999999</v>
      </c>
      <c r="I307" s="40">
        <v>40000</v>
      </c>
      <c r="J307" s="41">
        <f t="shared" si="8"/>
        <v>6308000</v>
      </c>
      <c r="K307" s="313">
        <f>SUM(J307:J309)</f>
        <v>32372000</v>
      </c>
      <c r="L307" s="45"/>
      <c r="M307" s="318"/>
      <c r="N307" s="46"/>
      <c r="O307" s="46"/>
      <c r="P307" s="46"/>
    </row>
    <row r="308" spans="1:16" s="47" customFormat="1" ht="50.25" customHeight="1">
      <c r="A308" s="307">
        <v>96</v>
      </c>
      <c r="B308" s="33" t="s">
        <v>460</v>
      </c>
      <c r="C308" s="34">
        <v>77</v>
      </c>
      <c r="D308" s="34" t="s">
        <v>99</v>
      </c>
      <c r="E308" s="35">
        <v>442.5</v>
      </c>
      <c r="F308" s="34" t="s">
        <v>49</v>
      </c>
      <c r="G308" s="36" t="s">
        <v>461</v>
      </c>
      <c r="H308" s="39">
        <v>442.5</v>
      </c>
      <c r="I308" s="40">
        <v>40000</v>
      </c>
      <c r="J308" s="41">
        <f t="shared" si="8"/>
        <v>17700000</v>
      </c>
      <c r="K308" s="314"/>
      <c r="L308" s="45"/>
      <c r="M308" s="318"/>
      <c r="N308" s="46"/>
      <c r="O308" s="46"/>
      <c r="P308" s="46"/>
    </row>
    <row r="309" spans="1:16" s="47" customFormat="1" ht="50.25" customHeight="1">
      <c r="A309" s="308"/>
      <c r="B309" s="33" t="s">
        <v>460</v>
      </c>
      <c r="C309" s="34">
        <v>31</v>
      </c>
      <c r="D309" s="34" t="s">
        <v>99</v>
      </c>
      <c r="E309" s="35" t="s">
        <v>462</v>
      </c>
      <c r="F309" s="34" t="s">
        <v>45</v>
      </c>
      <c r="G309" s="36" t="s">
        <v>56</v>
      </c>
      <c r="H309" s="39">
        <v>209.1</v>
      </c>
      <c r="I309" s="40">
        <v>40000</v>
      </c>
      <c r="J309" s="41">
        <f t="shared" si="8"/>
        <v>8364000</v>
      </c>
      <c r="K309" s="315"/>
      <c r="L309" s="45"/>
      <c r="M309" s="318"/>
      <c r="N309" s="46"/>
      <c r="O309" s="46"/>
      <c r="P309" s="46"/>
    </row>
    <row r="310" spans="1:16" s="47" customFormat="1" ht="50.25" customHeight="1">
      <c r="A310" s="309"/>
      <c r="B310" s="33" t="s">
        <v>460</v>
      </c>
      <c r="C310" s="34">
        <v>146</v>
      </c>
      <c r="D310" s="34" t="s">
        <v>99</v>
      </c>
      <c r="E310" s="156" t="s">
        <v>464</v>
      </c>
      <c r="F310" s="89" t="s">
        <v>45</v>
      </c>
      <c r="G310" s="36" t="s">
        <v>60</v>
      </c>
      <c r="H310" s="39">
        <v>358.9</v>
      </c>
      <c r="I310" s="40">
        <v>40000</v>
      </c>
      <c r="J310" s="41">
        <f t="shared" si="8"/>
        <v>14356000</v>
      </c>
      <c r="K310" s="64">
        <f>J310</f>
        <v>14356000</v>
      </c>
      <c r="L310" s="45"/>
      <c r="M310" s="252"/>
      <c r="N310" s="46"/>
      <c r="O310" s="46"/>
      <c r="P310" s="46"/>
    </row>
    <row r="311" spans="1:16" s="47" customFormat="1" ht="50.25" customHeight="1">
      <c r="A311" s="32">
        <v>97</v>
      </c>
      <c r="B311" s="33" t="s">
        <v>465</v>
      </c>
      <c r="C311" s="34">
        <v>449</v>
      </c>
      <c r="D311" s="34">
        <v>28</v>
      </c>
      <c r="E311" s="35">
        <v>427.4</v>
      </c>
      <c r="F311" s="34" t="s">
        <v>49</v>
      </c>
      <c r="G311" s="36" t="s">
        <v>57</v>
      </c>
      <c r="H311" s="39">
        <v>427.4</v>
      </c>
      <c r="I311" s="40">
        <v>40000</v>
      </c>
      <c r="J311" s="41">
        <f t="shared" si="8"/>
        <v>17096000</v>
      </c>
      <c r="K311" s="313">
        <f>SUM(J311:J312)</f>
        <v>20588000</v>
      </c>
      <c r="L311" s="45"/>
      <c r="M311" s="319"/>
      <c r="N311" s="46"/>
      <c r="O311" s="46"/>
      <c r="P311" s="46"/>
    </row>
    <row r="312" spans="1:16" s="47" customFormat="1" ht="50.25" customHeight="1">
      <c r="A312" s="307">
        <v>98</v>
      </c>
      <c r="B312" s="33" t="s">
        <v>466</v>
      </c>
      <c r="C312" s="34" t="s">
        <v>467</v>
      </c>
      <c r="D312" s="34">
        <v>28</v>
      </c>
      <c r="E312" s="35">
        <v>87.3</v>
      </c>
      <c r="F312" s="34" t="s">
        <v>45</v>
      </c>
      <c r="G312" s="36" t="s">
        <v>50</v>
      </c>
      <c r="H312" s="39">
        <v>87.3</v>
      </c>
      <c r="I312" s="40">
        <v>40000</v>
      </c>
      <c r="J312" s="41">
        <f t="shared" si="8"/>
        <v>3492000</v>
      </c>
      <c r="K312" s="314"/>
      <c r="L312" s="45"/>
      <c r="M312" s="318"/>
      <c r="N312" s="46"/>
      <c r="O312" s="46"/>
      <c r="P312" s="46"/>
    </row>
    <row r="313" spans="1:16" s="47" customFormat="1" ht="50.25" customHeight="1">
      <c r="A313" s="308"/>
      <c r="B313" s="33" t="s">
        <v>466</v>
      </c>
      <c r="C313" s="34" t="s">
        <v>469</v>
      </c>
      <c r="D313" s="34">
        <v>28</v>
      </c>
      <c r="E313" s="35">
        <v>103.7</v>
      </c>
      <c r="F313" s="34" t="s">
        <v>49</v>
      </c>
      <c r="G313" s="36" t="s">
        <v>50</v>
      </c>
      <c r="H313" s="39">
        <v>103.7</v>
      </c>
      <c r="I313" s="40">
        <v>40000</v>
      </c>
      <c r="J313" s="41">
        <f t="shared" si="8"/>
        <v>4148000</v>
      </c>
      <c r="K313" s="313">
        <f>SUM(J313:J315)</f>
        <v>35996000</v>
      </c>
      <c r="L313" s="81"/>
      <c r="M313" s="318"/>
      <c r="N313" s="46"/>
      <c r="O313" s="46"/>
      <c r="P313" s="46"/>
    </row>
    <row r="314" spans="1:16" s="47" customFormat="1" ht="50.25" customHeight="1">
      <c r="A314" s="307">
        <v>99</v>
      </c>
      <c r="B314" s="33" t="s">
        <v>470</v>
      </c>
      <c r="C314" s="34" t="s">
        <v>471</v>
      </c>
      <c r="D314" s="34" t="s">
        <v>96</v>
      </c>
      <c r="E314" s="35">
        <v>642</v>
      </c>
      <c r="F314" s="34" t="s">
        <v>45</v>
      </c>
      <c r="G314" s="36" t="s">
        <v>54</v>
      </c>
      <c r="H314" s="39">
        <v>642</v>
      </c>
      <c r="I314" s="40">
        <v>40000</v>
      </c>
      <c r="J314" s="41">
        <f t="shared" si="8"/>
        <v>25680000</v>
      </c>
      <c r="K314" s="314"/>
      <c r="L314" s="45"/>
      <c r="M314" s="318"/>
      <c r="N314" s="46"/>
      <c r="O314" s="46"/>
      <c r="P314" s="46"/>
    </row>
    <row r="315" spans="1:16" s="47" customFormat="1" ht="50.25" customHeight="1">
      <c r="A315" s="308"/>
      <c r="B315" s="33" t="s">
        <v>470</v>
      </c>
      <c r="C315" s="34" t="s">
        <v>475</v>
      </c>
      <c r="D315" s="34" t="s">
        <v>99</v>
      </c>
      <c r="E315" s="35">
        <v>154.19999999999999</v>
      </c>
      <c r="F315" s="34" t="s">
        <v>49</v>
      </c>
      <c r="G315" s="36" t="s">
        <v>74</v>
      </c>
      <c r="H315" s="39">
        <v>154.19999999999999</v>
      </c>
      <c r="I315" s="40">
        <v>40000</v>
      </c>
      <c r="J315" s="41">
        <f t="shared" si="8"/>
        <v>6168000</v>
      </c>
      <c r="K315" s="315"/>
      <c r="L315" s="45"/>
      <c r="M315" s="318"/>
      <c r="N315" s="46"/>
      <c r="O315" s="46"/>
      <c r="P315" s="46"/>
    </row>
    <row r="316" spans="1:16" s="47" customFormat="1" ht="50.25" customHeight="1">
      <c r="A316" s="309"/>
      <c r="B316" s="33" t="s">
        <v>470</v>
      </c>
      <c r="C316" s="34" t="s">
        <v>159</v>
      </c>
      <c r="D316" s="34" t="s">
        <v>99</v>
      </c>
      <c r="E316" s="35">
        <v>379.5</v>
      </c>
      <c r="F316" s="34" t="s">
        <v>45</v>
      </c>
      <c r="G316" s="36" t="s">
        <v>46</v>
      </c>
      <c r="H316" s="39">
        <v>379.5</v>
      </c>
      <c r="I316" s="40">
        <v>40000</v>
      </c>
      <c r="J316" s="41">
        <f t="shared" si="8"/>
        <v>15180000</v>
      </c>
      <c r="K316" s="313">
        <f>SUM(J316:J317)</f>
        <v>17932000</v>
      </c>
      <c r="L316" s="45"/>
      <c r="M316" s="319"/>
      <c r="N316" s="46"/>
      <c r="O316" s="46"/>
      <c r="P316" s="46"/>
    </row>
    <row r="317" spans="1:16" s="47" customFormat="1" ht="50.25" customHeight="1">
      <c r="A317" s="307">
        <v>100</v>
      </c>
      <c r="B317" s="33" t="s">
        <v>477</v>
      </c>
      <c r="C317" s="34" t="s">
        <v>478</v>
      </c>
      <c r="D317" s="34" t="s">
        <v>99</v>
      </c>
      <c r="E317" s="35">
        <v>68.8</v>
      </c>
      <c r="F317" s="34" t="s">
        <v>55</v>
      </c>
      <c r="G317" s="36" t="s">
        <v>56</v>
      </c>
      <c r="H317" s="39">
        <v>68.8</v>
      </c>
      <c r="I317" s="40">
        <v>40000</v>
      </c>
      <c r="J317" s="41">
        <f t="shared" si="8"/>
        <v>2752000</v>
      </c>
      <c r="K317" s="315"/>
      <c r="L317" s="45"/>
      <c r="M317" s="318"/>
      <c r="N317" s="46"/>
      <c r="O317" s="46"/>
      <c r="P317" s="46"/>
    </row>
    <row r="318" spans="1:16" s="68" customFormat="1" ht="50.25" customHeight="1">
      <c r="A318" s="309"/>
      <c r="B318" s="33" t="s">
        <v>477</v>
      </c>
      <c r="C318" s="34" t="s">
        <v>481</v>
      </c>
      <c r="D318" s="34" t="s">
        <v>99</v>
      </c>
      <c r="E318" s="35">
        <v>200.2</v>
      </c>
      <c r="F318" s="34" t="s">
        <v>49</v>
      </c>
      <c r="G318" s="36" t="s">
        <v>198</v>
      </c>
      <c r="H318" s="39">
        <v>1.7</v>
      </c>
      <c r="I318" s="40">
        <v>40000</v>
      </c>
      <c r="J318" s="41">
        <f t="shared" si="8"/>
        <v>68000</v>
      </c>
      <c r="K318" s="313">
        <f>SUM(J318:J322)</f>
        <v>39228000</v>
      </c>
      <c r="L318" s="45" t="s">
        <v>415</v>
      </c>
      <c r="M318" s="319"/>
      <c r="N318" s="67"/>
      <c r="O318" s="67"/>
      <c r="P318" s="67"/>
    </row>
    <row r="319" spans="1:16" s="68" customFormat="1" ht="50.25" customHeight="1">
      <c r="A319" s="307">
        <v>101</v>
      </c>
      <c r="B319" s="33" t="s">
        <v>482</v>
      </c>
      <c r="C319" s="34" t="s">
        <v>483</v>
      </c>
      <c r="D319" s="34" t="s">
        <v>99</v>
      </c>
      <c r="E319" s="35">
        <v>550.5</v>
      </c>
      <c r="F319" s="34" t="s">
        <v>45</v>
      </c>
      <c r="G319" s="36" t="s">
        <v>60</v>
      </c>
      <c r="H319" s="39">
        <v>550.5</v>
      </c>
      <c r="I319" s="40">
        <v>40000</v>
      </c>
      <c r="J319" s="41">
        <f t="shared" si="8"/>
        <v>22020000</v>
      </c>
      <c r="K319" s="314"/>
      <c r="L319" s="45" t="s">
        <v>415</v>
      </c>
      <c r="M319" s="318"/>
      <c r="N319" s="67"/>
      <c r="O319" s="67"/>
      <c r="P319" s="67"/>
    </row>
    <row r="320" spans="1:16" s="68" customFormat="1" ht="50.25" customHeight="1">
      <c r="A320" s="308"/>
      <c r="B320" s="33" t="s">
        <v>482</v>
      </c>
      <c r="C320" s="34">
        <v>119</v>
      </c>
      <c r="D320" s="34" t="s">
        <v>99</v>
      </c>
      <c r="E320" s="35">
        <v>554.29999999999995</v>
      </c>
      <c r="F320" s="34" t="s">
        <v>49</v>
      </c>
      <c r="G320" s="36" t="s">
        <v>57</v>
      </c>
      <c r="H320" s="39">
        <v>197.59999999999997</v>
      </c>
      <c r="I320" s="40">
        <v>40000</v>
      </c>
      <c r="J320" s="41">
        <f t="shared" si="8"/>
        <v>7903999.9999999991</v>
      </c>
      <c r="K320" s="314"/>
      <c r="L320" s="45"/>
      <c r="M320" s="318"/>
      <c r="N320" s="67"/>
      <c r="O320" s="67"/>
      <c r="P320" s="67"/>
    </row>
    <row r="321" spans="1:17" s="68" customFormat="1" ht="50.25" customHeight="1">
      <c r="A321" s="308"/>
      <c r="B321" s="33" t="s">
        <v>482</v>
      </c>
      <c r="C321" s="34" t="s">
        <v>484</v>
      </c>
      <c r="D321" s="34" t="s">
        <v>99</v>
      </c>
      <c r="E321" s="35">
        <v>156.1</v>
      </c>
      <c r="F321" s="34" t="s">
        <v>49</v>
      </c>
      <c r="G321" s="36" t="s">
        <v>57</v>
      </c>
      <c r="H321" s="39">
        <v>156.1</v>
      </c>
      <c r="I321" s="40">
        <v>40000</v>
      </c>
      <c r="J321" s="41">
        <f t="shared" si="8"/>
        <v>6244000</v>
      </c>
      <c r="K321" s="314"/>
      <c r="L321" s="45"/>
      <c r="M321" s="318"/>
      <c r="N321" s="67"/>
      <c r="O321" s="67"/>
      <c r="P321" s="67"/>
    </row>
    <row r="322" spans="1:17" s="68" customFormat="1" ht="50.25" customHeight="1">
      <c r="A322" s="308"/>
      <c r="B322" s="33" t="s">
        <v>482</v>
      </c>
      <c r="C322" s="34" t="s">
        <v>485</v>
      </c>
      <c r="D322" s="34" t="s">
        <v>99</v>
      </c>
      <c r="E322" s="35">
        <v>74.8</v>
      </c>
      <c r="F322" s="34" t="s">
        <v>49</v>
      </c>
      <c r="G322" s="36" t="s">
        <v>57</v>
      </c>
      <c r="H322" s="39">
        <v>74.8</v>
      </c>
      <c r="I322" s="40">
        <v>40000</v>
      </c>
      <c r="J322" s="41">
        <f t="shared" si="8"/>
        <v>2992000</v>
      </c>
      <c r="K322" s="314"/>
      <c r="L322" s="45"/>
      <c r="M322" s="318"/>
      <c r="N322" s="67"/>
      <c r="O322" s="67"/>
      <c r="P322" s="67"/>
    </row>
    <row r="323" spans="1:17" s="68" customFormat="1" ht="50.25" customHeight="1">
      <c r="A323" s="308"/>
      <c r="B323" s="33" t="s">
        <v>482</v>
      </c>
      <c r="C323" s="95" t="s">
        <v>486</v>
      </c>
      <c r="D323" s="95" t="s">
        <v>99</v>
      </c>
      <c r="E323" s="158">
        <v>202.9</v>
      </c>
      <c r="F323" s="95" t="s">
        <v>49</v>
      </c>
      <c r="G323" s="77" t="s">
        <v>57</v>
      </c>
      <c r="H323" s="39">
        <v>202.9</v>
      </c>
      <c r="I323" s="40">
        <v>40000</v>
      </c>
      <c r="J323" s="41">
        <f t="shared" si="8"/>
        <v>8116000</v>
      </c>
      <c r="K323" s="313">
        <f>SUM(J323:J328)</f>
        <v>35888000</v>
      </c>
      <c r="L323" s="81"/>
      <c r="M323" s="318"/>
      <c r="N323" s="67"/>
      <c r="O323" s="67"/>
      <c r="P323" s="67"/>
    </row>
    <row r="324" spans="1:17" s="68" customFormat="1" ht="50.25" customHeight="1">
      <c r="A324" s="307">
        <v>102</v>
      </c>
      <c r="B324" s="157" t="s">
        <v>487</v>
      </c>
      <c r="C324" s="95" t="s">
        <v>488</v>
      </c>
      <c r="D324" s="95" t="s">
        <v>99</v>
      </c>
      <c r="E324" s="158">
        <v>156.1</v>
      </c>
      <c r="F324" s="95" t="s">
        <v>49</v>
      </c>
      <c r="G324" s="36" t="s">
        <v>50</v>
      </c>
      <c r="H324" s="39">
        <v>156.1</v>
      </c>
      <c r="I324" s="40">
        <v>40000</v>
      </c>
      <c r="J324" s="41">
        <f t="shared" si="8"/>
        <v>6244000</v>
      </c>
      <c r="K324" s="314"/>
      <c r="L324" s="81"/>
      <c r="M324" s="318"/>
      <c r="N324" s="67"/>
      <c r="O324" s="67"/>
      <c r="P324" s="67"/>
    </row>
    <row r="325" spans="1:17" s="68" customFormat="1" ht="50.25" customHeight="1">
      <c r="A325" s="308"/>
      <c r="B325" s="157" t="s">
        <v>487</v>
      </c>
      <c r="C325" s="95" t="s">
        <v>491</v>
      </c>
      <c r="D325" s="95" t="s">
        <v>99</v>
      </c>
      <c r="E325" s="158">
        <v>175.9</v>
      </c>
      <c r="F325" s="95" t="s">
        <v>49</v>
      </c>
      <c r="G325" s="36" t="s">
        <v>50</v>
      </c>
      <c r="H325" s="39">
        <v>83.9</v>
      </c>
      <c r="I325" s="40">
        <v>40000</v>
      </c>
      <c r="J325" s="41">
        <f t="shared" si="8"/>
        <v>3356000</v>
      </c>
      <c r="K325" s="175"/>
      <c r="L325" s="81"/>
      <c r="M325" s="318"/>
      <c r="N325" s="67"/>
      <c r="O325" s="67"/>
      <c r="P325" s="67"/>
    </row>
    <row r="326" spans="1:17" s="68" customFormat="1" ht="50.25" customHeight="1">
      <c r="A326" s="308"/>
      <c r="B326" s="157" t="s">
        <v>487</v>
      </c>
      <c r="C326" s="95" t="s">
        <v>493</v>
      </c>
      <c r="D326" s="95" t="s">
        <v>99</v>
      </c>
      <c r="E326" s="158">
        <v>138.9</v>
      </c>
      <c r="F326" s="95" t="s">
        <v>49</v>
      </c>
      <c r="G326" s="36" t="s">
        <v>50</v>
      </c>
      <c r="H326" s="39">
        <v>138.9</v>
      </c>
      <c r="I326" s="40">
        <v>40000</v>
      </c>
      <c r="J326" s="41">
        <f t="shared" si="8"/>
        <v>5556000</v>
      </c>
      <c r="K326" s="175"/>
      <c r="L326" s="81"/>
      <c r="M326" s="318"/>
      <c r="N326" s="67"/>
      <c r="O326" s="67"/>
      <c r="P326" s="67"/>
    </row>
    <row r="327" spans="1:17" s="68" customFormat="1" ht="50.25" customHeight="1">
      <c r="A327" s="308"/>
      <c r="B327" s="157" t="s">
        <v>487</v>
      </c>
      <c r="C327" s="95">
        <v>226</v>
      </c>
      <c r="D327" s="95">
        <v>28</v>
      </c>
      <c r="E327" s="158">
        <v>384.2</v>
      </c>
      <c r="F327" s="95" t="s">
        <v>45</v>
      </c>
      <c r="G327" s="36" t="s">
        <v>60</v>
      </c>
      <c r="H327" s="39">
        <v>74.500000000000028</v>
      </c>
      <c r="I327" s="40">
        <v>40000</v>
      </c>
      <c r="J327" s="41">
        <f t="shared" si="8"/>
        <v>2980000.0000000009</v>
      </c>
      <c r="K327" s="175"/>
      <c r="L327" s="81"/>
      <c r="M327" s="318"/>
      <c r="N327" s="67"/>
      <c r="O327" s="67"/>
      <c r="P327" s="67"/>
    </row>
    <row r="328" spans="1:17" s="68" customFormat="1" ht="50.25" customHeight="1">
      <c r="A328" s="308"/>
      <c r="B328" s="157" t="s">
        <v>487</v>
      </c>
      <c r="C328" s="95" t="s">
        <v>494</v>
      </c>
      <c r="D328" s="95" t="s">
        <v>99</v>
      </c>
      <c r="E328" s="158">
        <v>240.9</v>
      </c>
      <c r="F328" s="95" t="s">
        <v>45</v>
      </c>
      <c r="G328" s="36" t="s">
        <v>60</v>
      </c>
      <c r="H328" s="39">
        <v>240.9</v>
      </c>
      <c r="I328" s="40">
        <v>40000</v>
      </c>
      <c r="J328" s="41">
        <f t="shared" si="8"/>
        <v>9636000</v>
      </c>
      <c r="K328" s="176"/>
      <c r="L328" s="81"/>
      <c r="M328" s="318"/>
      <c r="N328" s="67"/>
      <c r="O328" s="67"/>
      <c r="P328" s="67"/>
      <c r="Q328" s="163">
        <f>SUM(J323:J328)</f>
        <v>35888000</v>
      </c>
    </row>
    <row r="329" spans="1:17" s="68" customFormat="1" ht="50.25" customHeight="1">
      <c r="A329" s="309"/>
      <c r="B329" s="157" t="s">
        <v>487</v>
      </c>
      <c r="C329" s="95" t="s">
        <v>495</v>
      </c>
      <c r="D329" s="95">
        <v>28</v>
      </c>
      <c r="E329" s="158">
        <v>240.2</v>
      </c>
      <c r="F329" s="95" t="s">
        <v>45</v>
      </c>
      <c r="G329" s="36" t="s">
        <v>57</v>
      </c>
      <c r="H329" s="39">
        <v>204.5</v>
      </c>
      <c r="I329" s="40">
        <v>40000</v>
      </c>
      <c r="J329" s="41">
        <f t="shared" si="8"/>
        <v>8180000</v>
      </c>
      <c r="K329" s="313">
        <f>SUM(J329:J335)</f>
        <v>57116000</v>
      </c>
      <c r="L329" s="45"/>
      <c r="M329" s="195"/>
      <c r="N329" s="67"/>
      <c r="O329" s="67"/>
      <c r="P329" s="67"/>
    </row>
    <row r="330" spans="1:17" s="68" customFormat="1" ht="50.25" customHeight="1">
      <c r="A330" s="307">
        <v>103</v>
      </c>
      <c r="B330" s="33" t="s">
        <v>496</v>
      </c>
      <c r="C330" s="34" t="s">
        <v>491</v>
      </c>
      <c r="D330" s="34" t="s">
        <v>99</v>
      </c>
      <c r="E330" s="35">
        <v>175.9</v>
      </c>
      <c r="F330" s="34" t="s">
        <v>49</v>
      </c>
      <c r="G330" s="36" t="s">
        <v>50</v>
      </c>
      <c r="H330" s="39">
        <v>92</v>
      </c>
      <c r="I330" s="40">
        <v>40000</v>
      </c>
      <c r="J330" s="41">
        <f t="shared" si="8"/>
        <v>3680000</v>
      </c>
      <c r="K330" s="314"/>
      <c r="L330" s="45"/>
      <c r="M330" s="319"/>
      <c r="N330" s="67"/>
      <c r="O330" s="67"/>
      <c r="P330" s="67"/>
    </row>
    <row r="331" spans="1:17" s="68" customFormat="1" ht="50.25" customHeight="1">
      <c r="A331" s="308"/>
      <c r="B331" s="33" t="s">
        <v>496</v>
      </c>
      <c r="C331" s="34" t="s">
        <v>498</v>
      </c>
      <c r="D331" s="34" t="s">
        <v>99</v>
      </c>
      <c r="E331" s="35">
        <v>180.5</v>
      </c>
      <c r="F331" s="34" t="s">
        <v>45</v>
      </c>
      <c r="G331" s="36" t="s">
        <v>60</v>
      </c>
      <c r="H331" s="39">
        <v>180.5</v>
      </c>
      <c r="I331" s="40">
        <v>40000</v>
      </c>
      <c r="J331" s="41">
        <f t="shared" si="8"/>
        <v>7220000</v>
      </c>
      <c r="K331" s="314"/>
      <c r="L331" s="45"/>
      <c r="M331" s="318"/>
      <c r="N331" s="67"/>
      <c r="O331" s="67"/>
      <c r="P331" s="67"/>
    </row>
    <row r="332" spans="1:17" s="68" customFormat="1" ht="50.25" customHeight="1">
      <c r="A332" s="308"/>
      <c r="B332" s="33" t="s">
        <v>496</v>
      </c>
      <c r="C332" s="34" t="s">
        <v>500</v>
      </c>
      <c r="D332" s="34" t="s">
        <v>99</v>
      </c>
      <c r="E332" s="35">
        <v>424</v>
      </c>
      <c r="F332" s="34" t="s">
        <v>45</v>
      </c>
      <c r="G332" s="36" t="s">
        <v>46</v>
      </c>
      <c r="H332" s="39">
        <v>401.2</v>
      </c>
      <c r="I332" s="40">
        <v>40000</v>
      </c>
      <c r="J332" s="41">
        <f t="shared" ref="J332:J359" si="9">H332*I332</f>
        <v>16048000</v>
      </c>
      <c r="K332" s="314"/>
      <c r="L332" s="45"/>
      <c r="M332" s="318"/>
      <c r="N332" s="67"/>
      <c r="O332" s="67"/>
      <c r="P332" s="67"/>
    </row>
    <row r="333" spans="1:17" s="68" customFormat="1" ht="50.25" customHeight="1">
      <c r="A333" s="308"/>
      <c r="B333" s="33" t="s">
        <v>496</v>
      </c>
      <c r="C333" s="34" t="s">
        <v>501</v>
      </c>
      <c r="D333" s="34" t="s">
        <v>99</v>
      </c>
      <c r="E333" s="35">
        <v>229.4</v>
      </c>
      <c r="F333" s="34" t="s">
        <v>49</v>
      </c>
      <c r="G333" s="36" t="s">
        <v>50</v>
      </c>
      <c r="H333" s="39">
        <v>229.4</v>
      </c>
      <c r="I333" s="40">
        <v>40000</v>
      </c>
      <c r="J333" s="41">
        <f t="shared" si="9"/>
        <v>9176000</v>
      </c>
      <c r="K333" s="314"/>
      <c r="L333" s="81"/>
      <c r="M333" s="318"/>
      <c r="N333" s="67"/>
      <c r="O333" s="67"/>
      <c r="P333" s="67"/>
    </row>
    <row r="334" spans="1:17" s="68" customFormat="1" ht="50.25" customHeight="1">
      <c r="A334" s="308"/>
      <c r="B334" s="33" t="s">
        <v>496</v>
      </c>
      <c r="C334" s="34" t="s">
        <v>502</v>
      </c>
      <c r="D334" s="34" t="s">
        <v>99</v>
      </c>
      <c r="E334" s="35">
        <v>112.2</v>
      </c>
      <c r="F334" s="34" t="s">
        <v>45</v>
      </c>
      <c r="G334" s="36" t="s">
        <v>50</v>
      </c>
      <c r="H334" s="39">
        <v>112.2</v>
      </c>
      <c r="I334" s="40">
        <v>40000</v>
      </c>
      <c r="J334" s="41">
        <f t="shared" si="9"/>
        <v>4488000</v>
      </c>
      <c r="K334" s="314"/>
      <c r="L334" s="45"/>
      <c r="M334" s="318"/>
      <c r="N334" s="67"/>
      <c r="O334" s="67"/>
      <c r="P334" s="67"/>
    </row>
    <row r="335" spans="1:17" s="68" customFormat="1" ht="50.25" customHeight="1">
      <c r="A335" s="308"/>
      <c r="B335" s="33" t="s">
        <v>496</v>
      </c>
      <c r="C335" s="34">
        <v>445</v>
      </c>
      <c r="D335" s="34">
        <v>28</v>
      </c>
      <c r="E335" s="35">
        <v>208.1</v>
      </c>
      <c r="F335" s="34" t="s">
        <v>49</v>
      </c>
      <c r="G335" s="36" t="s">
        <v>57</v>
      </c>
      <c r="H335" s="39">
        <v>208.1</v>
      </c>
      <c r="I335" s="40">
        <v>40000</v>
      </c>
      <c r="J335" s="41">
        <f t="shared" si="9"/>
        <v>8324000</v>
      </c>
      <c r="K335" s="314"/>
      <c r="L335" s="45"/>
      <c r="M335" s="318"/>
      <c r="N335" s="67"/>
      <c r="O335" s="67"/>
      <c r="P335" s="67"/>
    </row>
    <row r="336" spans="1:17" s="68" customFormat="1" ht="50.25" customHeight="1">
      <c r="A336" s="308"/>
      <c r="B336" s="33" t="s">
        <v>496</v>
      </c>
      <c r="C336" s="34" t="s">
        <v>503</v>
      </c>
      <c r="D336" s="34" t="s">
        <v>99</v>
      </c>
      <c r="E336" s="35">
        <v>227.4</v>
      </c>
      <c r="F336" s="34" t="s">
        <v>49</v>
      </c>
      <c r="G336" s="36" t="s">
        <v>57</v>
      </c>
      <c r="H336" s="39">
        <v>229.70000000000002</v>
      </c>
      <c r="I336" s="40">
        <v>40000</v>
      </c>
      <c r="J336" s="41">
        <f t="shared" si="9"/>
        <v>9188000</v>
      </c>
      <c r="K336" s="313">
        <f>SUM(J336:J342)</f>
        <v>59064000</v>
      </c>
      <c r="L336" s="45"/>
      <c r="M336" s="319"/>
      <c r="N336" s="67"/>
      <c r="O336" s="67"/>
      <c r="P336" s="67"/>
    </row>
    <row r="337" spans="1:16" s="68" customFormat="1" ht="50.25" customHeight="1">
      <c r="A337" s="307">
        <v>104</v>
      </c>
      <c r="B337" s="33" t="s">
        <v>504</v>
      </c>
      <c r="C337" s="34">
        <v>100</v>
      </c>
      <c r="D337" s="34">
        <v>28</v>
      </c>
      <c r="E337" s="35">
        <v>715.9</v>
      </c>
      <c r="F337" s="34" t="s">
        <v>45</v>
      </c>
      <c r="G337" s="36" t="s">
        <v>63</v>
      </c>
      <c r="H337" s="39">
        <v>153.69999999999999</v>
      </c>
      <c r="I337" s="40">
        <v>40000</v>
      </c>
      <c r="J337" s="41">
        <f t="shared" si="9"/>
        <v>6148000</v>
      </c>
      <c r="K337" s="314"/>
      <c r="L337" s="45"/>
      <c r="M337" s="318"/>
      <c r="N337" s="67"/>
      <c r="O337" s="67"/>
      <c r="P337" s="67"/>
    </row>
    <row r="338" spans="1:16" s="68" customFormat="1" ht="50.25" customHeight="1">
      <c r="A338" s="308"/>
      <c r="B338" s="33" t="s">
        <v>504</v>
      </c>
      <c r="C338" s="34">
        <v>99</v>
      </c>
      <c r="D338" s="34">
        <v>28</v>
      </c>
      <c r="E338" s="35">
        <v>306.3</v>
      </c>
      <c r="F338" s="34" t="s">
        <v>45</v>
      </c>
      <c r="G338" s="36" t="s">
        <v>63</v>
      </c>
      <c r="H338" s="39">
        <v>306.3</v>
      </c>
      <c r="I338" s="40">
        <v>40000</v>
      </c>
      <c r="J338" s="41">
        <f t="shared" si="9"/>
        <v>12252000</v>
      </c>
      <c r="K338" s="314"/>
      <c r="L338" s="45" t="s">
        <v>415</v>
      </c>
      <c r="M338" s="318"/>
      <c r="N338" s="67"/>
      <c r="O338" s="67"/>
      <c r="P338" s="67"/>
    </row>
    <row r="339" spans="1:16" s="68" customFormat="1" ht="50.25" customHeight="1">
      <c r="A339" s="308"/>
      <c r="B339" s="33" t="s">
        <v>504</v>
      </c>
      <c r="C339" s="34">
        <v>119</v>
      </c>
      <c r="D339" s="34">
        <v>28</v>
      </c>
      <c r="E339" s="35">
        <v>554.29999999999995</v>
      </c>
      <c r="F339" s="34" t="s">
        <v>45</v>
      </c>
      <c r="G339" s="36" t="s">
        <v>63</v>
      </c>
      <c r="H339" s="39">
        <v>356.7</v>
      </c>
      <c r="I339" s="40">
        <v>40000</v>
      </c>
      <c r="J339" s="41">
        <f t="shared" si="9"/>
        <v>14268000</v>
      </c>
      <c r="K339" s="314"/>
      <c r="L339" s="45"/>
      <c r="M339" s="318"/>
      <c r="N339" s="67"/>
      <c r="O339" s="67"/>
      <c r="P339" s="67"/>
    </row>
    <row r="340" spans="1:16" s="68" customFormat="1" ht="50.25" customHeight="1">
      <c r="A340" s="308"/>
      <c r="B340" s="33" t="s">
        <v>504</v>
      </c>
      <c r="C340" s="34">
        <v>211</v>
      </c>
      <c r="D340" s="34">
        <v>28</v>
      </c>
      <c r="E340" s="35">
        <v>158.69999999999999</v>
      </c>
      <c r="F340" s="34" t="s">
        <v>49</v>
      </c>
      <c r="G340" s="36" t="s">
        <v>50</v>
      </c>
      <c r="H340" s="39">
        <v>158.69999999999999</v>
      </c>
      <c r="I340" s="40">
        <v>40000</v>
      </c>
      <c r="J340" s="41">
        <f t="shared" si="9"/>
        <v>6348000</v>
      </c>
      <c r="K340" s="314"/>
      <c r="L340" s="45"/>
      <c r="M340" s="318"/>
      <c r="N340" s="67"/>
      <c r="O340" s="67"/>
      <c r="P340" s="67"/>
    </row>
    <row r="341" spans="1:16" s="68" customFormat="1" ht="50.25" customHeight="1">
      <c r="A341" s="177"/>
      <c r="B341" s="33" t="s">
        <v>504</v>
      </c>
      <c r="C341" s="34">
        <v>286</v>
      </c>
      <c r="D341" s="34">
        <v>28</v>
      </c>
      <c r="E341" s="35">
        <v>521.70000000000005</v>
      </c>
      <c r="F341" s="34" t="s">
        <v>49</v>
      </c>
      <c r="G341" s="36" t="s">
        <v>50</v>
      </c>
      <c r="H341" s="39">
        <v>122.4</v>
      </c>
      <c r="I341" s="40">
        <v>40000</v>
      </c>
      <c r="J341" s="41">
        <f t="shared" si="9"/>
        <v>4896000</v>
      </c>
      <c r="K341" s="314"/>
      <c r="L341" s="45"/>
      <c r="M341" s="318"/>
      <c r="N341" s="67"/>
      <c r="O341" s="67"/>
      <c r="P341" s="67"/>
    </row>
    <row r="342" spans="1:16" s="68" customFormat="1" ht="50.25" customHeight="1">
      <c r="A342" s="177"/>
      <c r="B342" s="33" t="s">
        <v>504</v>
      </c>
      <c r="C342" s="34">
        <v>279</v>
      </c>
      <c r="D342" s="34">
        <v>28</v>
      </c>
      <c r="E342" s="35">
        <v>149.1</v>
      </c>
      <c r="F342" s="34" t="s">
        <v>45</v>
      </c>
      <c r="G342" s="36" t="s">
        <v>50</v>
      </c>
      <c r="H342" s="39">
        <v>149.1</v>
      </c>
      <c r="I342" s="40">
        <v>40000</v>
      </c>
      <c r="J342" s="41">
        <f t="shared" si="9"/>
        <v>5964000</v>
      </c>
      <c r="K342" s="314"/>
      <c r="L342" s="45"/>
      <c r="M342" s="318"/>
      <c r="N342" s="67"/>
      <c r="O342" s="67"/>
      <c r="P342" s="67"/>
    </row>
    <row r="343" spans="1:16" s="47" customFormat="1" ht="50.25" customHeight="1">
      <c r="A343" s="177"/>
      <c r="B343" s="33" t="s">
        <v>504</v>
      </c>
      <c r="C343" s="34">
        <v>280</v>
      </c>
      <c r="D343" s="34">
        <v>28</v>
      </c>
      <c r="E343" s="35">
        <v>147.69999999999999</v>
      </c>
      <c r="F343" s="34" t="s">
        <v>45</v>
      </c>
      <c r="G343" s="36" t="s">
        <v>50</v>
      </c>
      <c r="H343" s="39">
        <v>138.39999999999998</v>
      </c>
      <c r="I343" s="40">
        <v>40000</v>
      </c>
      <c r="J343" s="41">
        <f t="shared" si="9"/>
        <v>5535999.9999999991</v>
      </c>
      <c r="K343" s="313">
        <f>SUM(J343:J346)</f>
        <v>20564000</v>
      </c>
      <c r="L343" s="45"/>
      <c r="M343" s="318"/>
      <c r="N343" s="46"/>
      <c r="O343" s="46"/>
      <c r="P343" s="46"/>
    </row>
    <row r="344" spans="1:16" s="47" customFormat="1" ht="50.25" customHeight="1">
      <c r="A344" s="307">
        <v>105</v>
      </c>
      <c r="B344" s="33" t="s">
        <v>507</v>
      </c>
      <c r="C344" s="34">
        <v>202</v>
      </c>
      <c r="D344" s="34">
        <v>28</v>
      </c>
      <c r="E344" s="35">
        <v>77.400000000000006</v>
      </c>
      <c r="F344" s="34" t="s">
        <v>45</v>
      </c>
      <c r="G344" s="36" t="s">
        <v>50</v>
      </c>
      <c r="H344" s="39">
        <v>77.400000000000006</v>
      </c>
      <c r="I344" s="40">
        <v>40000</v>
      </c>
      <c r="J344" s="41">
        <f t="shared" si="9"/>
        <v>3096000</v>
      </c>
      <c r="K344" s="314"/>
      <c r="L344" s="45"/>
      <c r="M344" s="318"/>
      <c r="N344" s="46"/>
      <c r="O344" s="46"/>
      <c r="P344" s="46"/>
    </row>
    <row r="345" spans="1:16" s="47" customFormat="1" ht="50.25" customHeight="1">
      <c r="A345" s="308"/>
      <c r="B345" s="33" t="s">
        <v>507</v>
      </c>
      <c r="C345" s="34">
        <v>207</v>
      </c>
      <c r="D345" s="34">
        <v>28</v>
      </c>
      <c r="E345" s="35">
        <v>123.3</v>
      </c>
      <c r="F345" s="34" t="s">
        <v>49</v>
      </c>
      <c r="G345" s="36" t="s">
        <v>50</v>
      </c>
      <c r="H345" s="39">
        <v>123.3</v>
      </c>
      <c r="I345" s="40">
        <v>40000</v>
      </c>
      <c r="J345" s="41">
        <f t="shared" si="9"/>
        <v>4932000</v>
      </c>
      <c r="K345" s="314"/>
      <c r="L345" s="45"/>
      <c r="M345" s="318"/>
      <c r="N345" s="46"/>
      <c r="O345" s="46"/>
      <c r="P345" s="46"/>
    </row>
    <row r="346" spans="1:16" s="47" customFormat="1" ht="50.25" customHeight="1">
      <c r="A346" s="308"/>
      <c r="B346" s="33" t="s">
        <v>507</v>
      </c>
      <c r="C346" s="34">
        <v>292</v>
      </c>
      <c r="D346" s="34">
        <v>28</v>
      </c>
      <c r="E346" s="35">
        <v>175</v>
      </c>
      <c r="F346" s="34" t="s">
        <v>49</v>
      </c>
      <c r="G346" s="36" t="s">
        <v>50</v>
      </c>
      <c r="H346" s="39">
        <v>175</v>
      </c>
      <c r="I346" s="40">
        <v>40000</v>
      </c>
      <c r="J346" s="41">
        <f t="shared" si="9"/>
        <v>7000000</v>
      </c>
      <c r="K346" s="315"/>
      <c r="L346" s="45"/>
      <c r="M346" s="318"/>
      <c r="N346" s="46"/>
      <c r="O346" s="46"/>
      <c r="P346" s="46"/>
    </row>
    <row r="347" spans="1:16" s="68" customFormat="1" ht="50.25" customHeight="1">
      <c r="A347" s="309"/>
      <c r="B347" s="33" t="s">
        <v>507</v>
      </c>
      <c r="C347" s="34">
        <v>533</v>
      </c>
      <c r="D347" s="34">
        <v>28</v>
      </c>
      <c r="E347" s="35">
        <v>254.7</v>
      </c>
      <c r="F347" s="34" t="s">
        <v>49</v>
      </c>
      <c r="G347" s="36" t="s">
        <v>111</v>
      </c>
      <c r="H347" s="39">
        <v>254.7</v>
      </c>
      <c r="I347" s="40">
        <v>40000</v>
      </c>
      <c r="J347" s="41">
        <f t="shared" si="9"/>
        <v>10188000</v>
      </c>
      <c r="K347" s="313">
        <f>SUM(J347:J352)</f>
        <v>51320000</v>
      </c>
      <c r="L347" s="45"/>
      <c r="M347" s="318"/>
      <c r="N347" s="67"/>
      <c r="O347" s="67"/>
      <c r="P347" s="67"/>
    </row>
    <row r="348" spans="1:16" s="68" customFormat="1" ht="50.25" customHeight="1">
      <c r="A348" s="307">
        <v>106</v>
      </c>
      <c r="B348" s="33" t="s">
        <v>510</v>
      </c>
      <c r="C348" s="34">
        <v>194</v>
      </c>
      <c r="D348" s="34">
        <v>28</v>
      </c>
      <c r="E348" s="35">
        <v>276.10000000000002</v>
      </c>
      <c r="F348" s="34" t="s">
        <v>45</v>
      </c>
      <c r="G348" s="36" t="s">
        <v>63</v>
      </c>
      <c r="H348" s="39">
        <v>276.10000000000002</v>
      </c>
      <c r="I348" s="40">
        <v>40000</v>
      </c>
      <c r="J348" s="41">
        <f t="shared" si="9"/>
        <v>11044000</v>
      </c>
      <c r="K348" s="314"/>
      <c r="L348" s="45"/>
      <c r="M348" s="318"/>
      <c r="N348" s="67"/>
      <c r="O348" s="67"/>
      <c r="P348" s="67"/>
    </row>
    <row r="349" spans="1:16" s="68" customFormat="1" ht="50.25" customHeight="1">
      <c r="A349" s="308"/>
      <c r="B349" s="33" t="s">
        <v>510</v>
      </c>
      <c r="C349" s="34">
        <v>195</v>
      </c>
      <c r="D349" s="34">
        <v>28</v>
      </c>
      <c r="E349" s="35">
        <v>349.5</v>
      </c>
      <c r="F349" s="34" t="s">
        <v>45</v>
      </c>
      <c r="G349" s="36" t="s">
        <v>63</v>
      </c>
      <c r="H349" s="39">
        <v>82.899999999999977</v>
      </c>
      <c r="I349" s="40">
        <v>40000</v>
      </c>
      <c r="J349" s="41">
        <f t="shared" si="9"/>
        <v>3315999.9999999991</v>
      </c>
      <c r="K349" s="314"/>
      <c r="L349" s="45"/>
      <c r="M349" s="318"/>
      <c r="N349" s="67"/>
      <c r="O349" s="67"/>
      <c r="P349" s="67"/>
    </row>
    <row r="350" spans="1:16" s="68" customFormat="1" ht="50.25" customHeight="1">
      <c r="A350" s="308"/>
      <c r="B350" s="33" t="s">
        <v>510</v>
      </c>
      <c r="C350" s="34">
        <v>87</v>
      </c>
      <c r="D350" s="34">
        <v>28</v>
      </c>
      <c r="E350" s="35">
        <v>271.3</v>
      </c>
      <c r="F350" s="34" t="s">
        <v>49</v>
      </c>
      <c r="G350" s="36" t="s">
        <v>50</v>
      </c>
      <c r="H350" s="39">
        <v>271.3</v>
      </c>
      <c r="I350" s="40">
        <v>40000</v>
      </c>
      <c r="J350" s="41">
        <f t="shared" si="9"/>
        <v>10852000</v>
      </c>
      <c r="K350" s="314"/>
      <c r="L350" s="45"/>
      <c r="M350" s="318"/>
      <c r="N350" s="67"/>
      <c r="O350" s="67"/>
      <c r="P350" s="67"/>
    </row>
    <row r="351" spans="1:16" s="68" customFormat="1" ht="50.25" customHeight="1">
      <c r="A351" s="308"/>
      <c r="B351" s="33" t="s">
        <v>510</v>
      </c>
      <c r="C351" s="34">
        <v>206</v>
      </c>
      <c r="D351" s="34">
        <v>28</v>
      </c>
      <c r="E351" s="35">
        <v>144.6</v>
      </c>
      <c r="F351" s="34" t="s">
        <v>49</v>
      </c>
      <c r="G351" s="36" t="s">
        <v>242</v>
      </c>
      <c r="H351" s="39">
        <v>144.6</v>
      </c>
      <c r="I351" s="40">
        <v>40000</v>
      </c>
      <c r="J351" s="41">
        <f t="shared" si="9"/>
        <v>5784000</v>
      </c>
      <c r="K351" s="314"/>
      <c r="L351" s="45"/>
      <c r="M351" s="318"/>
      <c r="N351" s="67"/>
      <c r="O351" s="67"/>
      <c r="P351" s="67"/>
    </row>
    <row r="352" spans="1:16" s="68" customFormat="1" ht="50.25" customHeight="1">
      <c r="A352" s="308"/>
      <c r="B352" s="33" t="s">
        <v>510</v>
      </c>
      <c r="C352" s="34">
        <v>396</v>
      </c>
      <c r="D352" s="34">
        <v>28</v>
      </c>
      <c r="E352" s="35">
        <v>253.4</v>
      </c>
      <c r="F352" s="34" t="s">
        <v>49</v>
      </c>
      <c r="G352" s="36" t="s">
        <v>417</v>
      </c>
      <c r="H352" s="39">
        <v>253.4</v>
      </c>
      <c r="I352" s="40">
        <v>40000</v>
      </c>
      <c r="J352" s="41">
        <f t="shared" si="9"/>
        <v>10136000</v>
      </c>
      <c r="K352" s="314"/>
      <c r="L352" s="45"/>
      <c r="M352" s="318"/>
      <c r="N352" s="67"/>
      <c r="O352" s="67"/>
      <c r="P352" s="67"/>
    </row>
    <row r="353" spans="1:16" s="68" customFormat="1" ht="50.25" customHeight="1">
      <c r="A353" s="308"/>
      <c r="B353" s="33" t="s">
        <v>510</v>
      </c>
      <c r="C353" s="34">
        <v>241</v>
      </c>
      <c r="D353" s="34">
        <v>21</v>
      </c>
      <c r="E353" s="35">
        <v>400.3</v>
      </c>
      <c r="F353" s="34" t="s">
        <v>45</v>
      </c>
      <c r="G353" s="36" t="s">
        <v>54</v>
      </c>
      <c r="H353" s="39">
        <v>28.4</v>
      </c>
      <c r="I353" s="40">
        <v>40000</v>
      </c>
      <c r="J353" s="41">
        <f t="shared" si="9"/>
        <v>1136000</v>
      </c>
      <c r="K353" s="313">
        <f>SUM(J353:J359)</f>
        <v>68356000</v>
      </c>
      <c r="L353" s="45"/>
      <c r="M353" s="318"/>
      <c r="N353" s="67"/>
      <c r="O353" s="67"/>
      <c r="P353" s="67"/>
    </row>
    <row r="354" spans="1:16" s="68" customFormat="1" ht="50.25" customHeight="1">
      <c r="A354" s="307">
        <v>107</v>
      </c>
      <c r="B354" s="33" t="s">
        <v>514</v>
      </c>
      <c r="C354" s="34">
        <v>121</v>
      </c>
      <c r="D354" s="34">
        <v>28</v>
      </c>
      <c r="E354" s="35">
        <v>166.6</v>
      </c>
      <c r="F354" s="34" t="s">
        <v>55</v>
      </c>
      <c r="G354" s="36" t="s">
        <v>46</v>
      </c>
      <c r="H354" s="39">
        <v>166.6</v>
      </c>
      <c r="I354" s="40">
        <v>40000</v>
      </c>
      <c r="J354" s="41">
        <f t="shared" si="9"/>
        <v>6664000</v>
      </c>
      <c r="K354" s="314"/>
      <c r="L354" s="45"/>
      <c r="M354" s="318"/>
      <c r="N354" s="67"/>
      <c r="O354" s="67"/>
      <c r="P354" s="67"/>
    </row>
    <row r="355" spans="1:16" s="68" customFormat="1" ht="50.25" customHeight="1">
      <c r="A355" s="308"/>
      <c r="B355" s="33" t="s">
        <v>514</v>
      </c>
      <c r="C355" s="34">
        <v>132</v>
      </c>
      <c r="D355" s="34">
        <v>28</v>
      </c>
      <c r="E355" s="35">
        <v>364.6</v>
      </c>
      <c r="F355" s="34" t="s">
        <v>49</v>
      </c>
      <c r="G355" s="36" t="s">
        <v>50</v>
      </c>
      <c r="H355" s="39">
        <v>364.6</v>
      </c>
      <c r="I355" s="40">
        <v>40000</v>
      </c>
      <c r="J355" s="41">
        <f t="shared" si="9"/>
        <v>14584000</v>
      </c>
      <c r="K355" s="314"/>
      <c r="L355" s="45"/>
      <c r="M355" s="318"/>
      <c r="N355" s="67"/>
      <c r="O355" s="67"/>
      <c r="P355" s="67"/>
    </row>
    <row r="356" spans="1:16" s="68" customFormat="1" ht="50.25" customHeight="1">
      <c r="A356" s="308"/>
      <c r="B356" s="33" t="s">
        <v>514</v>
      </c>
      <c r="C356" s="34">
        <v>200</v>
      </c>
      <c r="D356" s="34">
        <v>28</v>
      </c>
      <c r="E356" s="35">
        <v>438.9</v>
      </c>
      <c r="F356" s="34" t="s">
        <v>45</v>
      </c>
      <c r="G356" s="36" t="s">
        <v>63</v>
      </c>
      <c r="H356" s="39">
        <v>438.9</v>
      </c>
      <c r="I356" s="40">
        <v>40000</v>
      </c>
      <c r="J356" s="41">
        <f t="shared" si="9"/>
        <v>17556000</v>
      </c>
      <c r="K356" s="314"/>
      <c r="L356" s="45"/>
      <c r="M356" s="318"/>
      <c r="N356" s="67"/>
      <c r="O356" s="67"/>
      <c r="P356" s="67"/>
    </row>
    <row r="357" spans="1:16" s="68" customFormat="1" ht="50.25" customHeight="1">
      <c r="A357" s="308"/>
      <c r="B357" s="33" t="s">
        <v>514</v>
      </c>
      <c r="C357" s="34">
        <v>350</v>
      </c>
      <c r="D357" s="34">
        <v>28</v>
      </c>
      <c r="E357" s="35">
        <v>319.10000000000002</v>
      </c>
      <c r="F357" s="34" t="s">
        <v>49</v>
      </c>
      <c r="G357" s="36" t="s">
        <v>198</v>
      </c>
      <c r="H357" s="39">
        <v>319.10000000000002</v>
      </c>
      <c r="I357" s="40">
        <v>40000</v>
      </c>
      <c r="J357" s="41">
        <f t="shared" si="9"/>
        <v>12764000</v>
      </c>
      <c r="K357" s="314"/>
      <c r="L357" s="81"/>
      <c r="M357" s="318"/>
      <c r="N357" s="67"/>
      <c r="O357" s="67"/>
      <c r="P357" s="67"/>
    </row>
    <row r="358" spans="1:16" s="68" customFormat="1" ht="50.25" customHeight="1">
      <c r="A358" s="308"/>
      <c r="B358" s="33" t="s">
        <v>514</v>
      </c>
      <c r="C358" s="34">
        <v>528</v>
      </c>
      <c r="D358" s="34">
        <v>28</v>
      </c>
      <c r="E358" s="35">
        <v>135.5</v>
      </c>
      <c r="F358" s="34" t="s">
        <v>49</v>
      </c>
      <c r="G358" s="36" t="s">
        <v>111</v>
      </c>
      <c r="H358" s="39">
        <v>135.5</v>
      </c>
      <c r="I358" s="40">
        <v>40000</v>
      </c>
      <c r="J358" s="41">
        <f t="shared" si="9"/>
        <v>5420000</v>
      </c>
      <c r="K358" s="314"/>
      <c r="L358" s="45"/>
      <c r="M358" s="318"/>
      <c r="N358" s="67"/>
      <c r="O358" s="67"/>
      <c r="P358" s="67"/>
    </row>
    <row r="359" spans="1:16" ht="50.25" customHeight="1">
      <c r="A359" s="309"/>
      <c r="B359" s="33" t="s">
        <v>514</v>
      </c>
      <c r="C359" s="34">
        <v>84</v>
      </c>
      <c r="D359" s="34">
        <v>28</v>
      </c>
      <c r="E359" s="35">
        <v>255.8</v>
      </c>
      <c r="F359" s="34" t="s">
        <v>49</v>
      </c>
      <c r="G359" s="36" t="s">
        <v>109</v>
      </c>
      <c r="H359" s="39">
        <v>255.8</v>
      </c>
      <c r="I359" s="40">
        <v>40000</v>
      </c>
      <c r="J359" s="41">
        <f t="shared" si="9"/>
        <v>10232000</v>
      </c>
      <c r="K359" s="315"/>
      <c r="L359" s="267"/>
    </row>
    <row r="360" spans="1:16" ht="25.5" customHeight="1">
      <c r="B360" s="102"/>
      <c r="C360" s="119"/>
      <c r="D360" s="119"/>
      <c r="E360" s="120"/>
      <c r="F360" s="119"/>
      <c r="G360" s="121"/>
      <c r="H360" s="110"/>
      <c r="I360" s="111"/>
      <c r="J360" s="359"/>
      <c r="K360" s="359"/>
      <c r="L360" s="359"/>
    </row>
    <row r="361" spans="1:16" ht="29.25" customHeight="1">
      <c r="B361" s="102"/>
      <c r="C361" s="119"/>
      <c r="D361" s="119"/>
      <c r="E361" s="120"/>
      <c r="F361" s="119"/>
      <c r="G361" s="121"/>
      <c r="H361" s="110"/>
      <c r="I361" s="111"/>
      <c r="J361" s="359"/>
      <c r="K361" s="359"/>
      <c r="L361" s="359"/>
    </row>
    <row r="362" spans="1:16" ht="18.75" customHeight="1">
      <c r="B362" s="102"/>
      <c r="C362" s="119"/>
      <c r="D362" s="119"/>
      <c r="E362" s="120"/>
      <c r="F362" s="119"/>
      <c r="G362" s="121"/>
      <c r="H362" s="110"/>
      <c r="I362" s="111"/>
      <c r="J362" s="116"/>
      <c r="K362" s="124"/>
      <c r="L362" s="125"/>
    </row>
    <row r="363" spans="1:16" ht="18.75" customHeight="1">
      <c r="B363" s="102"/>
      <c r="C363" s="119"/>
      <c r="D363" s="119"/>
      <c r="E363" s="120"/>
      <c r="F363" s="119"/>
      <c r="G363" s="121"/>
      <c r="H363" s="110"/>
      <c r="I363" s="111"/>
      <c r="J363" s="116"/>
      <c r="K363" s="124"/>
      <c r="L363" s="125"/>
    </row>
    <row r="364" spans="1:16" ht="18.75" customHeight="1">
      <c r="B364" s="102"/>
      <c r="C364" s="119"/>
      <c r="D364" s="119"/>
      <c r="E364" s="126"/>
      <c r="F364" s="119"/>
      <c r="G364" s="121"/>
      <c r="H364" s="110"/>
      <c r="I364" s="111"/>
      <c r="J364" s="127"/>
      <c r="K364" s="127"/>
      <c r="L364" s="127"/>
    </row>
    <row r="365" spans="1:16" ht="22.5">
      <c r="B365" s="128"/>
      <c r="C365" s="128"/>
      <c r="D365" s="128"/>
      <c r="E365" s="128"/>
      <c r="F365" s="128"/>
      <c r="G365" s="128"/>
      <c r="H365" s="110"/>
      <c r="I365" s="111"/>
      <c r="J365" s="129"/>
      <c r="K365" s="129"/>
      <c r="L365" s="129"/>
    </row>
    <row r="366" spans="1:16" ht="18.75" customHeight="1">
      <c r="B366" s="102"/>
      <c r="C366" s="131"/>
      <c r="D366" s="131"/>
      <c r="E366" s="133"/>
      <c r="F366" s="131"/>
      <c r="G366" s="134"/>
      <c r="H366" s="137"/>
      <c r="I366" s="138"/>
      <c r="J366" s="116"/>
      <c r="K366" s="124"/>
      <c r="L366" s="125"/>
    </row>
    <row r="367" spans="1:16" ht="18.75" customHeight="1">
      <c r="L367" s="148"/>
    </row>
    <row r="368" spans="1:16" ht="30.75" customHeight="1">
      <c r="J368" s="361"/>
      <c r="K368" s="361"/>
      <c r="L368" s="361"/>
    </row>
    <row r="369" spans="12:12" ht="18.75" customHeight="1">
      <c r="L369" s="148"/>
    </row>
    <row r="370" spans="12:12" ht="18.75" customHeight="1">
      <c r="L370" s="148"/>
    </row>
    <row r="371" spans="12:12" ht="18.75" customHeight="1">
      <c r="L371" s="148"/>
    </row>
    <row r="372" spans="12:12" ht="18.75" customHeight="1">
      <c r="L372" s="148"/>
    </row>
    <row r="373" spans="12:12" ht="18.75" customHeight="1">
      <c r="L373" s="148"/>
    </row>
    <row r="374" spans="12:12" ht="18.75" customHeight="1">
      <c r="L374" s="148"/>
    </row>
    <row r="375" spans="12:12" ht="18.75" customHeight="1">
      <c r="L375" s="148"/>
    </row>
    <row r="376" spans="12:12" ht="18.75" customHeight="1">
      <c r="L376" s="148"/>
    </row>
    <row r="377" spans="12:12" ht="18.75" customHeight="1">
      <c r="L377" s="148"/>
    </row>
    <row r="378" spans="12:12" ht="18.75" customHeight="1">
      <c r="L378" s="148"/>
    </row>
    <row r="379" spans="12:12" ht="18.75" customHeight="1">
      <c r="L379" s="148"/>
    </row>
    <row r="380" spans="12:12" ht="18.75" customHeight="1">
      <c r="L380" s="148"/>
    </row>
    <row r="381" spans="12:12" ht="18.75" customHeight="1">
      <c r="L381" s="148"/>
    </row>
    <row r="382" spans="12:12" ht="18.75" customHeight="1">
      <c r="L382" s="148"/>
    </row>
    <row r="383" spans="12:12" ht="18.75" customHeight="1">
      <c r="L383" s="149"/>
    </row>
    <row r="384" spans="12:12" ht="18.75" customHeight="1"/>
  </sheetData>
  <autoFilter ref="A9:U358"/>
  <mergeCells count="179">
    <mergeCell ref="J360:L360"/>
    <mergeCell ref="J361:L361"/>
    <mergeCell ref="J368:L368"/>
    <mergeCell ref="A260:A265"/>
    <mergeCell ref="A267:A273"/>
    <mergeCell ref="A274:A279"/>
    <mergeCell ref="A280:A285"/>
    <mergeCell ref="A286:A291"/>
    <mergeCell ref="K347:K352"/>
    <mergeCell ref="K323:K324"/>
    <mergeCell ref="K311:K312"/>
    <mergeCell ref="K296:K298"/>
    <mergeCell ref="A293:A296"/>
    <mergeCell ref="K285:K290"/>
    <mergeCell ref="K292:K295"/>
    <mergeCell ref="K273:K278"/>
    <mergeCell ref="K279:K284"/>
    <mergeCell ref="K260:K264"/>
    <mergeCell ref="K265:K272"/>
    <mergeCell ref="A314:A316"/>
    <mergeCell ref="A317:A318"/>
    <mergeCell ref="M347:M352"/>
    <mergeCell ref="M353:M358"/>
    <mergeCell ref="A344:A347"/>
    <mergeCell ref="A348:A353"/>
    <mergeCell ref="K336:K342"/>
    <mergeCell ref="M336:M342"/>
    <mergeCell ref="K343:K346"/>
    <mergeCell ref="M343:M346"/>
    <mergeCell ref="A330:A336"/>
    <mergeCell ref="A337:A340"/>
    <mergeCell ref="M311:M312"/>
    <mergeCell ref="K313:K315"/>
    <mergeCell ref="M313:M315"/>
    <mergeCell ref="A312:A313"/>
    <mergeCell ref="K307:K309"/>
    <mergeCell ref="M307:M309"/>
    <mergeCell ref="A308:A310"/>
    <mergeCell ref="A354:A359"/>
    <mergeCell ref="K302:K304"/>
    <mergeCell ref="M302:M304"/>
    <mergeCell ref="A300:A302"/>
    <mergeCell ref="A303:A305"/>
    <mergeCell ref="K299:K301"/>
    <mergeCell ref="A297:A299"/>
    <mergeCell ref="K353:K359"/>
    <mergeCell ref="M323:M328"/>
    <mergeCell ref="K329:K335"/>
    <mergeCell ref="M330:M335"/>
    <mergeCell ref="A319:A323"/>
    <mergeCell ref="A324:A329"/>
    <mergeCell ref="K316:K317"/>
    <mergeCell ref="M316:M317"/>
    <mergeCell ref="K318:K322"/>
    <mergeCell ref="M318:M322"/>
    <mergeCell ref="A250:A259"/>
    <mergeCell ref="K250:K259"/>
    <mergeCell ref="A240:A245"/>
    <mergeCell ref="K240:K245"/>
    <mergeCell ref="A246:A249"/>
    <mergeCell ref="K246:K249"/>
    <mergeCell ref="A223:A231"/>
    <mergeCell ref="K223:K231"/>
    <mergeCell ref="A232:A238"/>
    <mergeCell ref="K232:K238"/>
    <mergeCell ref="A213:A216"/>
    <mergeCell ref="K213:K216"/>
    <mergeCell ref="A217:A222"/>
    <mergeCell ref="K217:K219"/>
    <mergeCell ref="A206:A207"/>
    <mergeCell ref="K206:K207"/>
    <mergeCell ref="A209:A212"/>
    <mergeCell ref="K209:K212"/>
    <mergeCell ref="A199:A201"/>
    <mergeCell ref="K199:K201"/>
    <mergeCell ref="A202:A205"/>
    <mergeCell ref="K202:K205"/>
    <mergeCell ref="A187:A192"/>
    <mergeCell ref="K187:K192"/>
    <mergeCell ref="A193:A197"/>
    <mergeCell ref="K193:K197"/>
    <mergeCell ref="A183:A184"/>
    <mergeCell ref="K183:K184"/>
    <mergeCell ref="A185:A186"/>
    <mergeCell ref="K185:K186"/>
    <mergeCell ref="A174:A177"/>
    <mergeCell ref="K174:K177"/>
    <mergeCell ref="A178:A182"/>
    <mergeCell ref="K178:K182"/>
    <mergeCell ref="A168:A173"/>
    <mergeCell ref="K168:K173"/>
    <mergeCell ref="A161:A163"/>
    <mergeCell ref="K161:K163"/>
    <mergeCell ref="A164:A167"/>
    <mergeCell ref="K164:K167"/>
    <mergeCell ref="A155:A158"/>
    <mergeCell ref="K155:K158"/>
    <mergeCell ref="A159:A160"/>
    <mergeCell ref="K159:K160"/>
    <mergeCell ref="A147:A148"/>
    <mergeCell ref="K147:K148"/>
    <mergeCell ref="A150:A151"/>
    <mergeCell ref="K150:K154"/>
    <mergeCell ref="A152:A154"/>
    <mergeCell ref="A141:A144"/>
    <mergeCell ref="K141:K145"/>
    <mergeCell ref="K133:K134"/>
    <mergeCell ref="A135:A137"/>
    <mergeCell ref="K135:K137"/>
    <mergeCell ref="A138:A139"/>
    <mergeCell ref="K138:K139"/>
    <mergeCell ref="A129:A131"/>
    <mergeCell ref="K129:K131"/>
    <mergeCell ref="A133:A134"/>
    <mergeCell ref="A124:A128"/>
    <mergeCell ref="K124:K128"/>
    <mergeCell ref="A117:A120"/>
    <mergeCell ref="K117:K120"/>
    <mergeCell ref="A121:A123"/>
    <mergeCell ref="K121:K123"/>
    <mergeCell ref="A112:A115"/>
    <mergeCell ref="K112:K115"/>
    <mergeCell ref="A101:A105"/>
    <mergeCell ref="K101:K105"/>
    <mergeCell ref="A107:A111"/>
    <mergeCell ref="K107:K111"/>
    <mergeCell ref="A94:A95"/>
    <mergeCell ref="K94:K95"/>
    <mergeCell ref="A96:A100"/>
    <mergeCell ref="K96:K100"/>
    <mergeCell ref="A86:A88"/>
    <mergeCell ref="K86:K88"/>
    <mergeCell ref="A89:A93"/>
    <mergeCell ref="K89:K93"/>
    <mergeCell ref="A82:A84"/>
    <mergeCell ref="K82:K84"/>
    <mergeCell ref="K74:K75"/>
    <mergeCell ref="A77:A78"/>
    <mergeCell ref="K77:K78"/>
    <mergeCell ref="A79:A81"/>
    <mergeCell ref="K79:K81"/>
    <mergeCell ref="A61:A62"/>
    <mergeCell ref="K61:K62"/>
    <mergeCell ref="A63:A69"/>
    <mergeCell ref="K63:K66"/>
    <mergeCell ref="A56:A57"/>
    <mergeCell ref="K56:K57"/>
    <mergeCell ref="A58:A60"/>
    <mergeCell ref="K58:K60"/>
    <mergeCell ref="A50:A52"/>
    <mergeCell ref="K50:K52"/>
    <mergeCell ref="A53:A55"/>
    <mergeCell ref="K53:K55"/>
    <mergeCell ref="A44:A45"/>
    <mergeCell ref="K44:K45"/>
    <mergeCell ref="A46:A49"/>
    <mergeCell ref="K46:K49"/>
    <mergeCell ref="A37:A42"/>
    <mergeCell ref="K37:K42"/>
    <mergeCell ref="A33:A34"/>
    <mergeCell ref="K33:K34"/>
    <mergeCell ref="A20:A24"/>
    <mergeCell ref="K20:K24"/>
    <mergeCell ref="A25:A28"/>
    <mergeCell ref="K25:K28"/>
    <mergeCell ref="A29:A30"/>
    <mergeCell ref="K29:K30"/>
    <mergeCell ref="K6:K8"/>
    <mergeCell ref="L6:L8"/>
    <mergeCell ref="A10:B10"/>
    <mergeCell ref="A11:A17"/>
    <mergeCell ref="A1:L2"/>
    <mergeCell ref="B3:L3"/>
    <mergeCell ref="A4:L4"/>
    <mergeCell ref="A5:L5"/>
    <mergeCell ref="A6:A8"/>
    <mergeCell ref="B6:B8"/>
    <mergeCell ref="C6:G7"/>
    <mergeCell ref="H6:J7"/>
  </mergeCells>
  <pageMargins left="0.76" right="0.17" top="0.93" bottom="0.81" header="0.81" footer="0.66"/>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PA bồi thường</vt:lpstr>
      <vt:lpstr>DS THU HỒI</vt:lpstr>
      <vt:lpstr>TÀI SẢN</vt:lpstr>
      <vt:lpstr>Bảng tổng hợpKP (2)</vt:lpstr>
      <vt:lpstr>PA thưởng</vt:lpstr>
      <vt:lpstr>'Bảng tổng hợpKP (2)'!Print_Titles</vt:lpstr>
      <vt:lpstr>'DS THU HỒI'!Print_Titles</vt:lpstr>
      <vt:lpstr>'PA bồi thường'!Print_Titles</vt:lpstr>
      <vt:lpstr>'PA thưởng'!Print_Titles</vt:lpstr>
      <vt:lpstr>'TÀI SẢN'!Print_Titles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CMS</cp:lastModifiedBy>
  <cp:lastPrinted>2024-04-03T02:44:12Z</cp:lastPrinted>
  <dcterms:created xsi:type="dcterms:W3CDTF">2024-04-01T01:15:38Z</dcterms:created>
  <dcterms:modified xsi:type="dcterms:W3CDTF">2024-04-07T01:53:34Z</dcterms:modified>
</cp:coreProperties>
</file>