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80" windowWidth="15135" windowHeight="7875" activeTab="0"/>
  </bookViews>
  <sheets>
    <sheet name="Bảng tổng hợp kinh phí" sheetId="1" r:id="rId1"/>
    <sheet name="P.án đ3" sheetId="2" r:id="rId2"/>
    <sheet name="TS" sheetId="3" r:id="rId3"/>
    <sheet name="Hỗ trợ 40.000 " sheetId="4" r:id="rId4"/>
    <sheet name="DSTH đợt 3" sheetId="5" r:id="rId5"/>
    <sheet name="P.án mộ" sheetId="6" r:id="rId6"/>
    <sheet name="Thưởng Mộ" sheetId="7" r:id="rId7"/>
  </sheets>
  <externalReferences>
    <externalReference r:id="rId10"/>
  </externalReferences>
  <definedNames>
    <definedName name="_xlnm._FilterDatabase" localSheetId="4" hidden="1">'DSTH đợt 3'!$A$9:$O$26</definedName>
    <definedName name="_xlnm._FilterDatabase" localSheetId="3" hidden="1">'Hỗ trợ 40.000 '!$A$9:$Q$26</definedName>
    <definedName name="_xlnm._FilterDatabase" localSheetId="1" hidden="1">'P.án đ3'!$A$9:$AB$161</definedName>
    <definedName name="_xlnm._FilterDatabase" localSheetId="2" hidden="1">'TS'!$A$7:$I$80</definedName>
    <definedName name="_xlnm.Print_Titles" localSheetId="0">'Bảng tổng hợp kinh phí'!$3:$4</definedName>
    <definedName name="_xlnm.Print_Titles" localSheetId="4">'DSTH đợt 3'!$6:$9</definedName>
    <definedName name="_xlnm.Print_Titles" localSheetId="3">'Hỗ trợ 40.000 '!$6:$9</definedName>
    <definedName name="_xlnm.Print_Titles" localSheetId="1">'P.án đ3'!$6:$9</definedName>
    <definedName name="_xlnm.Print_Titles" localSheetId="2">'TS'!$6:$7</definedName>
  </definedNames>
  <calcPr fullCalcOnLoad="1"/>
</workbook>
</file>

<file path=xl/sharedStrings.xml><?xml version="1.0" encoding="utf-8"?>
<sst xmlns="http://schemas.openxmlformats.org/spreadsheetml/2006/main" count="1676" uniqueCount="360">
  <si>
    <t>Ghi chú</t>
  </si>
  <si>
    <t>LUC</t>
  </si>
  <si>
    <t>Loại tài sản</t>
  </si>
  <si>
    <t>Số lượng</t>
  </si>
  <si>
    <t>ĐVT</t>
  </si>
  <si>
    <t>Đơn giá 
(đ)</t>
  </si>
  <si>
    <t>Cây hàng năm</t>
  </si>
  <si>
    <t>STT</t>
  </si>
  <si>
    <t>Mục</t>
  </si>
  <si>
    <t>Đơn giá (đ)</t>
  </si>
  <si>
    <t>Thành tiền (đ)</t>
  </si>
  <si>
    <t>Kinh phí bồi thường về đất</t>
  </si>
  <si>
    <t>Chủ hộ</t>
  </si>
  <si>
    <t>Số 
thửa</t>
  </si>
  <si>
    <t>Số đx hỗ trợ</t>
  </si>
  <si>
    <t>Trong chỉ giới</t>
  </si>
  <si>
    <t xml:space="preserve"> Hỗ trợ đào tạo nghề 3,5 triệu/1LĐ</t>
  </si>
  <si>
    <t>Bản đồ GPMB</t>
  </si>
  <si>
    <t>Số tờ</t>
  </si>
  <si>
    <t>Lương Văn Sòi</t>
  </si>
  <si>
    <t>Tổng kinh phí bồi thường, hỗ trợ theo hộ gia đình 
(đ)</t>
  </si>
  <si>
    <t>Địa điểm: Thôn Ngò, xã Tân Tiến, thành phố Bắc Giang.</t>
  </si>
  <si>
    <t>5=2*4</t>
  </si>
  <si>
    <t>TỔNG:</t>
  </si>
  <si>
    <t>(Làm tròn)</t>
  </si>
  <si>
    <t>I.</t>
  </si>
  <si>
    <t>II.</t>
  </si>
  <si>
    <r>
      <t>đ/m</t>
    </r>
    <r>
      <rPr>
        <vertAlign val="superscript"/>
        <sz val="14"/>
        <color indexed="8"/>
        <rFont val="Times New Roman"/>
        <family val="1"/>
      </rPr>
      <t>2</t>
    </r>
  </si>
  <si>
    <t>Tổng kinh phí bồi thường, hỗ trợ theo thửa 
(đ)</t>
  </si>
  <si>
    <t>BHK</t>
  </si>
  <si>
    <t xml:space="preserve">Xứ đồng </t>
  </si>
  <si>
    <t>1.</t>
  </si>
  <si>
    <t>1.1</t>
  </si>
  <si>
    <t>1.2</t>
  </si>
  <si>
    <t>C. Tổng kinh phí bồi thường, hỗ trợ: (=I+II)</t>
  </si>
  <si>
    <t>2.</t>
  </si>
  <si>
    <t>3.</t>
  </si>
  <si>
    <t>A. Tổng kinh phí đề nghị phê duyệt: (=B+C)</t>
  </si>
  <si>
    <t xml:space="preserve">Khi Nhà nước thu hồi đất để thực hiện dự án:  Xây dựng kênh tiêu, khuôn viên cây xanh và cảnh quan bờ sông Thương, xã Tân Tiến, thành phố Bắc Giang. </t>
  </si>
  <si>
    <t>38</t>
  </si>
  <si>
    <t>Giữa Đồng, Sườn Đê</t>
  </si>
  <si>
    <t>Nguyễn Thị Hoan (Giảng)</t>
  </si>
  <si>
    <t xml:space="preserve">Loại đất </t>
  </si>
  <si>
    <t>đ/ĐX</t>
  </si>
  <si>
    <t>CLN</t>
  </si>
  <si>
    <t>4.</t>
  </si>
  <si>
    <t>4.1</t>
  </si>
  <si>
    <t>4.2</t>
  </si>
  <si>
    <t>B. Kinh phí thực hiện công tác BT GPMB (= C *2%)</t>
  </si>
  <si>
    <t>Nguyễn Văn Tờ (Hòa)</t>
  </si>
  <si>
    <t>NTS</t>
  </si>
  <si>
    <t>Thành tiền
 (đ)</t>
  </si>
  <si>
    <t xml:space="preserve">Bồi thường
về đất theo thửa 
</t>
  </si>
  <si>
    <t>1</t>
  </si>
  <si>
    <t>Mức hỗ trợ
 (đ)</t>
  </si>
  <si>
    <t xml:space="preserve"> PHƯƠNG ÁN BỒI THƯỜNG, HỖ TRỢ DI CHUYỂN MỘ </t>
  </si>
  <si>
    <t>TT</t>
  </si>
  <si>
    <t>Họ và tên chủ mộ 
(người kê khai)</t>
  </si>
  <si>
    <t>Thửa số</t>
  </si>
  <si>
    <t>Tờ BĐ số</t>
  </si>
  <si>
    <t>Số hiệu mộ</t>
  </si>
  <si>
    <t>Kích thước</t>
  </si>
  <si>
    <r>
      <t>Diện tích chiếm đất của loại tài sản
 (m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>)</t>
    </r>
  </si>
  <si>
    <t>Đơn giá BT mộ, khối lượng tài sản 
(đ)</t>
  </si>
  <si>
    <t>Bồi thường, hỗ trợ di chuyển mộ</t>
  </si>
  <si>
    <t>Kinh phí bồi thường hỗ trợ di chuyển 1 mộ 
(đ)</t>
  </si>
  <si>
    <t>Số lượng mộ cùng loại</t>
  </si>
  <si>
    <t>Tỷ lệ (%)</t>
  </si>
  <si>
    <t>Tổng kinh phí bồi thường hỗ trợ theo loại mộ
(đ)</t>
  </si>
  <si>
    <t>Tổng kinh phí bồi thường, hỗ trợ cho hộ gia đình
 (đ)</t>
  </si>
  <si>
    <t>Dài
 (m)</t>
  </si>
  <si>
    <t>Rộng 
(m)</t>
  </si>
  <si>
    <t>Cao
 (m)</t>
  </si>
  <si>
    <t>Chi phí đào, bốc 
(đ)</t>
  </si>
  <si>
    <t>Hỗ trợ di chuyển mộ 
(đ)</t>
  </si>
  <si>
    <t>Hỗ trợ chi phí hợp lý khác 
(đ)</t>
  </si>
  <si>
    <t>9=6*7</t>
  </si>
  <si>
    <t>14=10+11+12+13</t>
  </si>
  <si>
    <t>17=14*15*16</t>
  </si>
  <si>
    <t xml:space="preserve">                                  </t>
  </si>
  <si>
    <t>Mộ tròn xây gạch. Đk 1,6m</t>
  </si>
  <si>
    <t>Đỗ Văn Luyện</t>
  </si>
  <si>
    <t>Trần Văn Pháo</t>
  </si>
  <si>
    <t xml:space="preserve"> DỰ TOÁN KINH PHÍ HỖ TRỢ DI CHUYỂN MỘ SỚM</t>
  </si>
  <si>
    <t>Địa điểm: thôn Ngò, xã Tân Tiến, thành phố Bắc Giang</t>
  </si>
  <si>
    <t>Kinh phí hỗ trợ di chuyển mộ sớm</t>
  </si>
  <si>
    <t>Kinh phí hỗ trợ theo loại mộ 
 (đ)</t>
  </si>
  <si>
    <t>Tổng kinh phí hỗ trợ cho hộ gia đình
 (đ)</t>
  </si>
  <si>
    <t>Số lượng mộ</t>
  </si>
  <si>
    <t>8=6*7</t>
  </si>
  <si>
    <t>5.</t>
  </si>
  <si>
    <t>đ/mộ</t>
  </si>
  <si>
    <t>6.</t>
  </si>
  <si>
    <r>
      <t>Kinh phí bồi thường, hỗ trợ về Mộ: (=1+</t>
    </r>
    <r>
      <rPr>
        <b/>
        <sz val="11"/>
        <color indexed="8"/>
        <rFont val="Times New Roman"/>
        <family val="1"/>
      </rPr>
      <t>...</t>
    </r>
    <r>
      <rPr>
        <b/>
        <sz val="14"/>
        <color indexed="8"/>
        <rFont val="Times New Roman"/>
        <family val="1"/>
      </rPr>
      <t>+6)</t>
    </r>
  </si>
  <si>
    <r>
      <t xml:space="preserve">Kinh phí bồi thường tài, hỗ trợ tài sản trên đất: </t>
    </r>
    <r>
      <rPr>
        <i/>
        <sz val="12"/>
        <color indexed="8"/>
        <rFont val="Times New Roman"/>
        <family val="1"/>
      </rPr>
      <t>Vận dụng đơn giá bồi thường tài sản, công trình xây dựng, cây cối hoa màu theo các Công văn số 1350/SNN-KHTC ngày 29/6/2023 của Sở Nông nghiệp và Phát triển nông thôn tỉnh; số 1767/SXD-KT&amp;VLXD ngày 30/6/2023 của Sở Xây dựng 
(Có bảng tổng hợp kèm theo).</t>
    </r>
  </si>
  <si>
    <t>Hỗ trợ chuyển đổi nghề nghiệp và tạo việc làm:</t>
  </si>
  <si>
    <t>Hỗ trợ ổn định đời sống:</t>
  </si>
  <si>
    <t>Loại đất thu hồi</t>
  </si>
  <si>
    <t>Ngoài chỉ giới</t>
  </si>
  <si>
    <t>305</t>
  </si>
  <si>
    <t>5</t>
  </si>
  <si>
    <t>Nguyễn Văn Nga (Luyến)</t>
  </si>
  <si>
    <t>303</t>
  </si>
  <si>
    <t>6</t>
  </si>
  <si>
    <t>Nguyễn Văn Mười (Thảo)</t>
  </si>
  <si>
    <t>302</t>
  </si>
  <si>
    <t>Lam Khánh Vinh</t>
  </si>
  <si>
    <t>304</t>
  </si>
  <si>
    <t>Mức bồi thường, hỗ trợ
(%)</t>
  </si>
  <si>
    <t>Cây Bạch đàn. Đkgốc 13-20cm</t>
  </si>
  <si>
    <t>đ/cây</t>
  </si>
  <si>
    <t>cây</t>
  </si>
  <si>
    <t>Công trình xây dựng: Xây gạch, trát vữa, cột kèo sắt, mái lợp tôn, nền đổ bê tông, có điện, cửa gỗ. KT: dài 8,5m, rộng 4,3m, cao 2,7m</t>
  </si>
  <si>
    <t>Nhà tạm Loại A</t>
  </si>
  <si>
    <t>Nhà vệ sinh loại A</t>
  </si>
  <si>
    <t>Công trình chăn nuôi: Tường xây gạch chỉ, cột kèo gỗ, mái lợp tôn, nền đổ bê tông. KT: dài 15,5m, rộng 3,5m, cao 2,5m</t>
  </si>
  <si>
    <t>Tường xây gạch chỉ 110mm bổ trụ: Dài 14,0m, cao 1,6m</t>
  </si>
  <si>
    <t>Bể dưới khu chăn nuôi: Xây gạch trát vữa 1 mặt, đáy đổ bê tông. Dài 3m, rộng 2m, sâu 1,6m</t>
  </si>
  <si>
    <t>Công trình xây dựng: mái lợp Fibroximăng, cột kèo sắt, nền gạch bê tông. KT: dài 10,0m, rộng 2,9m, cao 2,2m</t>
  </si>
  <si>
    <t>Cây Sưa. Đkgốc 13-20cm</t>
  </si>
  <si>
    <t>Cây Bưởi. Đkgốc 15cm</t>
  </si>
  <si>
    <t>Cây Bưởi. Đkgốc 9-12cm</t>
  </si>
  <si>
    <t>Cây Bưởi. Đkgốc 5-7cm</t>
  </si>
  <si>
    <t>Cây trồng lại</t>
  </si>
  <si>
    <t>Cây Nhãn. Đkg tán 5m</t>
  </si>
  <si>
    <t>Vươt mật độ quy định</t>
  </si>
  <si>
    <t>Cây Hồng Xiêm. Đkgốc 9-12cm</t>
  </si>
  <si>
    <t>Cây Na. Đkgốc 5-7cm</t>
  </si>
  <si>
    <t>Cây Xoài. Đkgốc 12-15cm</t>
  </si>
  <si>
    <t>Cây Cau. Đkgốc 9-12cm</t>
  </si>
  <si>
    <t>26</t>
  </si>
  <si>
    <t>27</t>
  </si>
  <si>
    <t>13</t>
  </si>
  <si>
    <t>350</t>
  </si>
  <si>
    <t>Nguyễn Thanh Xuân (Hoà)</t>
  </si>
  <si>
    <t>328</t>
  </si>
  <si>
    <t>Đỗ Thị Lan (Hùng)</t>
  </si>
  <si>
    <t>327</t>
  </si>
  <si>
    <t>18</t>
  </si>
  <si>
    <t>35</t>
  </si>
  <si>
    <t>Nguyễn Văn Ngọc (Thảo)</t>
  </si>
  <si>
    <t>413</t>
  </si>
  <si>
    <t>Đỗ Thị Quyến
 (Trần Văn Diện)</t>
  </si>
  <si>
    <t>Đỗ Văn Na (Vân)</t>
  </si>
  <si>
    <t>Trần Thị Hương (Thanh)</t>
  </si>
  <si>
    <t>Nguyễn Văn Luận
 (con là Nguyễn Văn Điều)</t>
  </si>
  <si>
    <t>Cây Chuối đã có quả</t>
  </si>
  <si>
    <t>Cây Ổi. Đkgốc 5cm</t>
  </si>
  <si>
    <t>Cây Bưởi. Đkgốc 2cm</t>
  </si>
  <si>
    <t>Cây Đào thế, cây cao &gt;2m</t>
  </si>
  <si>
    <t>Cây Đu đủ. Cây trồng trên 9 tháng</t>
  </si>
  <si>
    <t>Đỗ Văn Mai</t>
  </si>
  <si>
    <t>đ/khóm</t>
  </si>
  <si>
    <t>Cây Ổi. Đkgốc 13-15cm</t>
  </si>
  <si>
    <t>Cây Mít. Đkgốc 12-15cm</t>
  </si>
  <si>
    <t>Cây Mít. Đkgốc 3-7cm</t>
  </si>
  <si>
    <t>Cây Vú Sữa. Đkgốc 15-20cm</t>
  </si>
  <si>
    <t>Công trình xây dựng: xây gạch chỉ cao 1,5m trên bịt tôn, cột kèo sắt, mái lợp tôn, nền đất. KT: dài 5,5m, rộng 4,5m, cao 3,0m</t>
  </si>
  <si>
    <t>Cây Sưa. Đkgốc 6-10cm</t>
  </si>
  <si>
    <t>Cây Vối. Đkgốc 30cm</t>
  </si>
  <si>
    <t>Cây Tre. Đkgốc&gt;7cm</t>
  </si>
  <si>
    <t>Công trình: khung sắt, bịt tôn xung quanh, mái tôn, nền đất. KT: dài 3,5m, rộng 2,0m, cao 3m</t>
  </si>
  <si>
    <t>Cây Ổi. Đk gốc 5-7cm</t>
  </si>
  <si>
    <t>Cây Bưởi. Đkgốc 7-9cm</t>
  </si>
  <si>
    <r>
      <t>đ/m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XD</t>
    </r>
  </si>
  <si>
    <t>m2</t>
  </si>
  <si>
    <t>Cây Táo. Đkgốc 12-15cm</t>
  </si>
  <si>
    <t>Giếng khoan, sâu 22m (4 giếng)</t>
  </si>
  <si>
    <t>Cây Đinh Lăng, cây trồng trên 3 năm</t>
  </si>
  <si>
    <t>đ/mdài</t>
  </si>
  <si>
    <t>Cây Ổi. Đkgốc 7-9cm</t>
  </si>
  <si>
    <t>Cây Na. Đkgốc 7-9cm</t>
  </si>
  <si>
    <t>Cây Vải. Đktán 3,5-4m</t>
  </si>
  <si>
    <t>Cây Chanh. Đkgốc 5-7cm</t>
  </si>
  <si>
    <t>Cây Dừa. Đkgốc 15-20cm</t>
  </si>
  <si>
    <r>
      <t>đ/m</t>
    </r>
    <r>
      <rPr>
        <vertAlign val="superscript"/>
        <sz val="14"/>
        <color indexed="8"/>
        <rFont val="Times New Roman"/>
        <family val="1"/>
      </rPr>
      <t>2</t>
    </r>
  </si>
  <si>
    <t>Trụ cổng (khối xây gạch): Xây gạch chỉ 0,4 x 0,4 cao 2m (2 trụ)</t>
  </si>
  <si>
    <t>Tường xây gạch chỉ 110mm, bổ trụ: dài 11,0m, cao 1,7m</t>
  </si>
  <si>
    <t>Tường xây gạch chỉ 110mm: Đoạn 1 (dài 10m, cao 1,3m) + Đoạn 2 (dài 9,2m, cao 2,7m)</t>
  </si>
  <si>
    <t>Công trình xây dựng: không tường bao, cột kèo sắt, mái lợp Fibroximăng, nền bê tông. KT: dài 10m, rộng 5m, cao 2,5m</t>
  </si>
  <si>
    <t>Công trình xây dựng: không tường bao, cột kèo sắt, mái lợp tôn, nền bê tông. KT: dài 4,5m, rộng 4,3m, cao 3m</t>
  </si>
  <si>
    <t>Tường xây gạch chỉ 220mm bổ trụ: dài 1,1m, cao 2,7m</t>
  </si>
  <si>
    <t>Công trình xây dựng: Tường xây gạch chỉ trát vữa xung quanh, mái lợp tôn, cột kèo sắt, nền lát gạch men, cửa chính bằng sắt, cửa sổ gỗ, có điện: dài 5,1m, rộng 4,5m, cao 3,5m.</t>
  </si>
  <si>
    <t>Công trình xây dựng: xây gạch chỉ, cột kèo sắt, mái lợp Fibroximăng, nền bê tông: dài 10,5m, rộng 4,3m, cao 4m</t>
  </si>
  <si>
    <t>Công trình xây dựng: Xây gạch chỉ, cột kèo sắt, mái lợp Fibroximăng, nền bê tông: dài 8,2m, rộng 5,5m, cao 2,5m</t>
  </si>
  <si>
    <t>Sân bê tông mác 200: Dài 11m, rộng 2,0m, dầy 0,07m</t>
  </si>
  <si>
    <t>Sân bê tông mác 200: Dài 10,5m, rộng 2,5m, dầy 0,1m</t>
  </si>
  <si>
    <t>Bể nước không có tấm đan bê tông: Xây gạch chỉ 110mm, trát vữa xung quanh 2 mặt. KT: dài 0,8m, rộng 0,8m, sâu 0,9m</t>
  </si>
  <si>
    <t>Công trình xây dựng: xây gạch trát vữa xung quanh, cột kèo gỗ, mái lợp ngói, nền bê tông: dài 3,3m, rộng 2,5m, cao 2,7m</t>
  </si>
  <si>
    <t>Công trình xây dựng: Tường xây gạch chỉ 110mm cao 1,2m, cột bê tông, kèo gỗ, mái lợp Fibroximăng và tôn, nền bê tông. KT: dài 21m, rộng 7,7m, cao 2,5m</t>
  </si>
  <si>
    <t>Công trình xây dựng: Tường xây gạch chỉ 110mm cao 1,2m trên bịt gỗ, cột bê tông, kèo gỗ, mái lợp Fibroximăng, nền lát gạch chỉ. KT: dài 9,3m (6+3,3), rộng 4,8m, cao 3m</t>
  </si>
  <si>
    <t>Sân bê tông mác 200: Đoạn 1 (dài 7,4m, rộng 4,6m, dầy 0,07m) + đoạn 2 (dài 12,5m, rộng 4,1m, dầy 0,07m)</t>
  </si>
  <si>
    <t>Công trình xây dựng: Tường xây gạch chỉ 110mm cao 1,2m trên bịt gỗ, cột  kèo sắt, mái lợp Fibroximăng, nền lát gạch chỉ. KT: dài 8m, rộng 4,3m, cao 2,5m</t>
  </si>
  <si>
    <t>Công trình xây dựng: Cột kèo gỗ, mái lợp Fibroximăng, nềnbê tông, xung quanh bịt tôn. KT: dài 4,4m, rộng 4,2m, cao 2m</t>
  </si>
  <si>
    <t>Sân bê tông mác 200: Đoạn 1 (dài 4,2m, rộng 1,6m, dầy 0,07m) + đoạn 2 (dài 13m, rộng 1,7m, dầy 0,07m) + đoạn 3 (dài 5m, rộng 2m, dầy 0,07m)</t>
  </si>
  <si>
    <t>Tường xây gạch chỉ 110mm: dài 24m, cao 1,5m</t>
  </si>
  <si>
    <t>Tường xây gạch chỉ 220mm bổ trụ: dài 15m, cao 0,2m</t>
  </si>
  <si>
    <t>Tường xây gạch chỉ 110mm: dài 33m (6+5+6+5+11), cao 0,8m</t>
  </si>
  <si>
    <t>Tường xây gạch chỉ 220mm bổ trụ: Đoạn 1 (dài 24m, cao 0,2m) + đoạn 2 (dài 40m, cao 0,5m)</t>
  </si>
  <si>
    <t>Công trình xây dựng: không tường bao, cột bê tông kèo gỗ, mái lợp Fibroximăng, nền bê tông. KT: dài 16m, rộng 4,7m, cao 2,0m</t>
  </si>
  <si>
    <t>Sân bê tông mác 200: Đoạn 1 (dài 21m, rộng 2m, dầy 0,07m) + đoạn 2 (dài 5,3m, rộng 2,6m, dầy 0,07m)</t>
  </si>
  <si>
    <t>Công trình xây dựng: không tường bao, cột bê tông kèo gỗ, mái lợp tôn, nền bê tông. KT: dài 6,4m, rộng 5,2m, cao 2,5m</t>
  </si>
  <si>
    <t>Tường xây gạch chỉ 110mm: dài 11,6m (4+1,8+1,8+4), cao 0,4m</t>
  </si>
  <si>
    <t>Sân bê tông mác 200: Đoạn 1 (dài 7,5m, rộng 1,2m, dầy 0,07m) + đoạn 2 (dài 2m, rộng 1,2m, dầy 0,07m)</t>
  </si>
  <si>
    <r>
      <t>Cây Quất. Cây trên 2 năm, cao trên 1m, Đk thân trên 3cm, MĐBQ 0,7cây/m</t>
    </r>
    <r>
      <rPr>
        <vertAlign val="superscript"/>
        <sz val="14"/>
        <color indexed="8"/>
        <rFont val="Times New Roman"/>
        <family val="1"/>
      </rPr>
      <t>2</t>
    </r>
  </si>
  <si>
    <r>
      <t>đ/m</t>
    </r>
    <r>
      <rPr>
        <vertAlign val="superscript"/>
        <sz val="14"/>
        <color indexed="8"/>
        <rFont val="Times New Roman"/>
        <family val="1"/>
      </rPr>
      <t>3</t>
    </r>
  </si>
  <si>
    <r>
      <t>đ/m</t>
    </r>
    <r>
      <rPr>
        <vertAlign val="superscript"/>
        <sz val="12"/>
        <color indexed="8"/>
        <rFont val="Times New Roman"/>
        <family val="1"/>
      </rPr>
      <t>2</t>
    </r>
  </si>
  <si>
    <t>Khu chăn nuôi loại A</t>
  </si>
  <si>
    <t>Khu chăn nuôi loại B</t>
  </si>
  <si>
    <t xml:space="preserve">Khu chăn nuôi loại A </t>
  </si>
  <si>
    <t xml:space="preserve">Khu chăn nuôi loại B </t>
  </si>
  <si>
    <r>
      <t>đ/m</t>
    </r>
    <r>
      <rPr>
        <vertAlign val="superscript"/>
        <sz val="14"/>
        <color indexed="10"/>
        <rFont val="Times New Roman"/>
        <family val="1"/>
      </rPr>
      <t>2</t>
    </r>
  </si>
  <si>
    <t>Cây Sung. Đkgốc 20-25cm</t>
  </si>
  <si>
    <t>Cây Sung. Đkgốc 15-20cm</t>
  </si>
  <si>
    <t>Cây Xoài. Đkgốc 3-7cm</t>
  </si>
  <si>
    <t>Tường xây cay bê tông 250mm: Dài  31,8 m, cao 1,2m</t>
  </si>
  <si>
    <t>Tường xây cay bê tông 130mm: Dài  31,8m, cao 1,1m</t>
  </si>
  <si>
    <t>Tường xây cay bê tông 130mm: Dài  38,0m (18+5+15), cao 0,5m</t>
  </si>
  <si>
    <t xml:space="preserve">Công trình xây dựng: Xây gạch, nền đổ bê tông, cột kèo gỗ, mái lợp Fibrôximăng (nhà vệ sinh). KT: dài 4,5m, rộng 3,1m, cao 2,2m </t>
  </si>
  <si>
    <t>Cây Nhãn. Đkg tán 4-5m</t>
  </si>
  <si>
    <t>Cây Bưởi. Đkgốc 20-22cm</t>
  </si>
  <si>
    <t>Cây Xoài. Đkgốc 25-29cm</t>
  </si>
  <si>
    <t>Cây Sung. Đkgốc từ 30cm trở lên</t>
  </si>
  <si>
    <t>Cây Sung. Đkgốc 25-30cm</t>
  </si>
  <si>
    <t>Cây Sung. Đkgốc 9-12cm</t>
  </si>
  <si>
    <t>Cây Đào. Đkgốc 15-20cm</t>
  </si>
  <si>
    <t>Cây Dừa. Đkgốc từ  35cm trở lên</t>
  </si>
  <si>
    <t>Cây Vú Sữa. Đkgốc 1-3cm</t>
  </si>
  <si>
    <t>Cây Táo. Đkgốc &lt;1cm</t>
  </si>
  <si>
    <t>Cây Mía. Trồng trên 6 tháng</t>
  </si>
  <si>
    <t>Khối bê tông mác 200</t>
  </si>
  <si>
    <t>Cây Vối. Đkgốc từ 30cm trở lên</t>
  </si>
  <si>
    <t>Nhà vệ sinh loại B</t>
  </si>
  <si>
    <t>Cây Mộc Hương. Cây trồng trên 2 năm</t>
  </si>
  <si>
    <t>Tường xây gạch chỉ 110mm, bổ trụ: dài 30m, cao 1,5m</t>
  </si>
  <si>
    <t>Cây Ổi. Đkgốc 9-11cm</t>
  </si>
  <si>
    <t xml:space="preserve">  PHƯƠNG ÁN BỒI THƯỜNG, HỖ TRỢ GPMB (ĐỢT 3)</t>
  </si>
  <si>
    <r>
      <t>Diện tích Thu hồi 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</si>
  <si>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r>
      <t>Tổng diện tích thu hồi của hộ trong thửa 
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</si>
  <si>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r>
      <t>Tổng diện tích thu hồi của hộ 
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</si>
  <si>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r>
      <t>Diện 
tích Bản đồ 
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</si>
  <si>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r>
      <t xml:space="preserve"> Đất cây hàng năm sử dụng ổn định trước 01/7/2004 
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</si>
  <si>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r>
      <t xml:space="preserve"> Đất cây lâu năm sử dụng ổn định trước 01/7/2004 
(m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)</t>
    </r>
  </si>
  <si>
    <r>
      <t>Hỗ trợ chuyển đổi nghề và tìm kiếm việc làm (3 lần giá đất cùng loại) 
(đ/m</t>
    </r>
    <r>
      <rPr>
        <b/>
        <vertAlign val="superscript"/>
        <sz val="13"/>
        <color indexed="8"/>
        <rFont val="Times New Roman"/>
        <family val="1"/>
      </rPr>
      <t>2</t>
    </r>
    <r>
      <rPr>
        <b/>
        <sz val="13"/>
        <color indexed="8"/>
        <rFont val="Times New Roman"/>
        <family val="1"/>
      </rPr>
      <t>)</t>
    </r>
  </si>
  <si>
    <r>
      <t>Thôn Ngò định xuất giao ruộng 600m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/ĐX:</t>
    </r>
  </si>
  <si>
    <r>
      <t>đ/m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XD</t>
    </r>
  </si>
  <si>
    <r>
      <t>m</t>
    </r>
    <r>
      <rPr>
        <vertAlign val="superscript"/>
        <sz val="14"/>
        <color indexed="8"/>
        <rFont val="Times New Roman"/>
        <family val="1"/>
      </rPr>
      <t>2</t>
    </r>
  </si>
  <si>
    <t>Địa điểm: Thôn Ngò, xã Tân Tiến, thành phố Bắc Giang</t>
  </si>
  <si>
    <t>Kinh phí hỗ trợ cho việc bố trí đất đai để tiếp nhận mộ: 01 mộ   X    2.000.000đ/mộ  =    2.000.000đ</t>
  </si>
  <si>
    <t>Vận dụng Kiốt loại B</t>
  </si>
  <si>
    <t>Tường xây gạch chỉ 110mm bổ trụ: Đoạn 1 (dài 17,9m, cao 1,7m) + đoạn 2 (dài 2,9m, cao 1,7m)</t>
  </si>
  <si>
    <t>Hình thành sau 01/7/2014. (Vận dụng Kiốt loại B)</t>
  </si>
  <si>
    <t>Vận dụng Kiốt loại C</t>
  </si>
  <si>
    <t>Công trình xây dựng (khu chăn nuôi): Xây gạch chỉ, cột kèo gỗ, mái lợp Fibrôximăng, nền gạch lá nem. KT: dài 6,3m, rộng 5,2m, cao 2,2m</t>
  </si>
  <si>
    <t>Công trình xây dựng (bếp): Xây gạch chỉ, cột kèo gỗ, mái lợp Fibrôximăng, nền gạch lá nem. KT: dài 4,0m, rộng 4,4m, cao 2,2m</t>
  </si>
  <si>
    <t>Nguyễn Tiến Thư (Tham)</t>
  </si>
  <si>
    <t>Cây Chuối, đã có quả</t>
  </si>
  <si>
    <t>Cây Mãng Cầu. Đkgốc &gt;15cm</t>
  </si>
  <si>
    <t>Vận dụng cây Na</t>
  </si>
  <si>
    <t>Công trình xây dựng: xây gạch chỉ, cột kèo gỗ, mái lợp Fibroximăng, nền bê tông. KT: dài 6,6m, rộng 4,0m, cao 2,2m</t>
  </si>
  <si>
    <r>
      <t>đ/m</t>
    </r>
    <r>
      <rPr>
        <vertAlign val="superscript"/>
        <sz val="12"/>
        <color indexed="10"/>
        <rFont val="Times New Roman"/>
        <family val="1"/>
      </rPr>
      <t>2</t>
    </r>
    <r>
      <rPr>
        <sz val="12"/>
        <color indexed="10"/>
        <rFont val="Times New Roman"/>
        <family val="1"/>
      </rPr>
      <t>XD</t>
    </r>
  </si>
  <si>
    <t>Tường xây gạch bê tông 130mm, bổ trụ: dài 22,0m, cao 1,3m</t>
  </si>
  <si>
    <t>Tường xây gạch chỉ 110mm, bổ trụ: dài 22,0m, cao 0,5m</t>
  </si>
  <si>
    <r>
      <t>đ/m</t>
    </r>
    <r>
      <rPr>
        <vertAlign val="superscript"/>
        <sz val="14"/>
        <color indexed="10"/>
        <rFont val="Times New Roman"/>
        <family val="1"/>
      </rPr>
      <t>2</t>
    </r>
  </si>
  <si>
    <t>Tường xây gạch bê tông 250mm, bổ trụ: dài 25,0m, cao 1,5m</t>
  </si>
  <si>
    <t>Tường xây gạch chỉ 110mm, bổ trụ: dài 4,6m, cao 1,5m</t>
  </si>
  <si>
    <t>Khu chăn nuôi Loại B</t>
  </si>
  <si>
    <t xml:space="preserve">Giếng khoan, sâu 20m </t>
  </si>
  <si>
    <t>Giếng khoan, sâu 20m (2 giếng)</t>
  </si>
  <si>
    <t>Cây Ổi. Đkgốc 11-13cm</t>
  </si>
  <si>
    <t>Cây Nho, cây trồng &gt;2năm</t>
  </si>
  <si>
    <t xml:space="preserve">Kiốt loại C </t>
  </si>
  <si>
    <t>Bể nước trên nhà vệ sinh: xây gạch, trát vữa, che tôn. KT: dài 2,6m, rộng 1,6m, cao 0,8m</t>
  </si>
  <si>
    <r>
      <t>đ/m</t>
    </r>
    <r>
      <rPr>
        <vertAlign val="superscript"/>
        <sz val="12"/>
        <color indexed="10"/>
        <rFont val="Times New Roman"/>
        <family val="1"/>
      </rPr>
      <t>3</t>
    </r>
  </si>
  <si>
    <t>Cổng sắt, khung bằng sắt ống. KT: rộng 1,2m, cao 2,2m (2 cánh)</t>
  </si>
  <si>
    <r>
      <t>đ/m</t>
    </r>
    <r>
      <rPr>
        <vertAlign val="superscript"/>
        <sz val="12"/>
        <color indexed="10"/>
        <rFont val="Times New Roman"/>
        <family val="1"/>
      </rPr>
      <t>2</t>
    </r>
  </si>
  <si>
    <t>Lưới B40, khung sắt. Dài 40m, cao 1,2m</t>
  </si>
  <si>
    <t>Tổng kinh phí hỗ trợ 
(đ)</t>
  </si>
  <si>
    <t>(Kèm theo Tờ trình số       /TTr-TTQĐ ngày      /12/2023 của Trung tâm Phát triển quỹ đất và Cụm công nghiệp thành phố Bắc Giang)</t>
  </si>
  <si>
    <t xml:space="preserve">Kinh phí hỗ trợ bàn giao mặt bằng sớm
</t>
  </si>
  <si>
    <t>Mức hỗ trợ 
(đ)</t>
  </si>
  <si>
    <t>TRUNG TÂM PTQĐ&amp;CCN TP</t>
  </si>
  <si>
    <t>GIÁM ĐỐC</t>
  </si>
  <si>
    <t>Nguyễn Văn Duy</t>
  </si>
  <si>
    <t>(Kèm theo Tờ trình số          /TTr-TTQĐ ngày       /12/2023 của Trung tâm Phát triển quỹ đất và Cụm công nghiệp thành phố)</t>
  </si>
  <si>
    <r>
      <t xml:space="preserve">(Kèm theo Tờ trình số          </t>
    </r>
    <r>
      <rPr>
        <b/>
        <i/>
        <sz val="18"/>
        <color indexed="10"/>
        <rFont val="Times New Roman"/>
        <family val="1"/>
      </rPr>
      <t xml:space="preserve">/TTr-TTQĐ ngày       /12/2023 </t>
    </r>
    <r>
      <rPr>
        <b/>
        <i/>
        <sz val="18"/>
        <rFont val="Times New Roman"/>
        <family val="1"/>
      </rPr>
      <t>của Trung tâm Phát triển quỹ đất và Cụm công nghiệp thành phố)</t>
    </r>
  </si>
  <si>
    <r>
      <t xml:space="preserve">  DANH SÁCH THU HỒI ĐẤT </t>
    </r>
    <r>
      <rPr>
        <b/>
        <sz val="18"/>
        <color indexed="10"/>
        <rFont val="Times New Roman"/>
        <family val="1"/>
      </rPr>
      <t>(ĐỢT 3)</t>
    </r>
  </si>
  <si>
    <t>(Kèm theo Tờ trình số         /TTr-UBND ngày       /12/2023 của Ủy ban nhân dân xã Tân Tiến)</t>
  </si>
  <si>
    <t>QĐ cưỡng chế kiểm đếm bắt buộc</t>
  </si>
  <si>
    <t>Nguyễn Văn Bắc (Lưu)</t>
  </si>
  <si>
    <t>23</t>
  </si>
  <si>
    <t>CT.</t>
  </si>
  <si>
    <t>Nhà vệ sinh: Tường xây gạch, trát vữa, trần đổ bê tông, nền bê tông. KT: dài 2,6m, rộng 1,6m, cao 2,2m</t>
  </si>
  <si>
    <t>Tường xây gạch chỉ 220mm bổ trụ: Đoạn 1 (dài 17,9m, cao 1,2m) + đoạn 2 (dài 2,9m, cao 1,2m)</t>
  </si>
  <si>
    <t>Sân bê tông: dài 18m, rộng 11m, dầy 0,07m</t>
  </si>
  <si>
    <t>Cây Đào thế, cây cao &gt;2m (1 cây)</t>
  </si>
  <si>
    <t>10=7+8+9</t>
  </si>
  <si>
    <t>13=10*12</t>
  </si>
  <si>
    <t>19=15*17*18</t>
  </si>
  <si>
    <t>21=10*12*3(lần)</t>
  </si>
  <si>
    <t>23=22*3,5tr</t>
  </si>
  <si>
    <t>24=13+19+20+21+23</t>
  </si>
  <si>
    <t>3.1</t>
  </si>
  <si>
    <t>3.1.1</t>
  </si>
  <si>
    <t>3.1.2</t>
  </si>
  <si>
    <t>3.2</t>
  </si>
  <si>
    <t>3.2.1</t>
  </si>
  <si>
    <t>3.2.2</t>
  </si>
  <si>
    <t>3.3</t>
  </si>
  <si>
    <t>Kinh phí hỗ trợ: (=3.1+...+3.3)</t>
  </si>
  <si>
    <t>Kinh phí bồi thường, hỗ trợ về đất: (=1+...+4)</t>
  </si>
  <si>
    <t xml:space="preserve">  DỰ TOÁN KINH PHÍ HỖ TRỢ BÀN GIAO MẶT BẰNG SỚM (ĐỢT 3)</t>
  </si>
  <si>
    <t xml:space="preserve">Để thực hiện dự án:  Xây dựng kênh tiêu, khuôn viên cây xanh và cảnh quan bờ sông Thương, xã Tân Tiến, thành phố Bắc Giang. </t>
  </si>
  <si>
    <t xml:space="preserve"> Đất cây hàng năm sử dụng ổn định trước 01/7/2004 
</t>
  </si>
  <si>
    <t xml:space="preserve"> Đất cây lâu năm sử dụng ổn định trước 01/7/2004 
</t>
  </si>
  <si>
    <t xml:space="preserve">Diện 
tích Bản đồ 
</t>
  </si>
  <si>
    <t>Bản đồ GPMB (m2)</t>
  </si>
  <si>
    <t>Thành tiền 
(đ/m2)</t>
  </si>
  <si>
    <r>
      <t>HT ổn định đời sống</t>
    </r>
  </si>
  <si>
    <t>Kinh phí các khoản hỗ trợ khác về đât (đ)</t>
  </si>
  <si>
    <t>Bồi thường, hỗ trợ tài sản trên đất (đ/m2)</t>
  </si>
  <si>
    <t>(Kèm theo Tờ trình số           /TTr-TTQĐ ngày        /12/2023 của Trung tâm Phát triển quỹ đất và Cụm công nghiệp thành phố Bắc Giang)</t>
  </si>
  <si>
    <r>
      <t>I. Thôn Ngò định xuất giao ruộng 600m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/đx</t>
    </r>
  </si>
  <si>
    <t>Giếng khoan, sâu 20m/1 giếng (3 giếng)</t>
  </si>
  <si>
    <t>Giếng khoan</t>
  </si>
  <si>
    <t>Công trình xây dựng: mái lợp Fibroximăng, cột kèo sắt, nền gạch bê tông</t>
  </si>
  <si>
    <t>Tường xây cay bê tông 130mm</t>
  </si>
  <si>
    <t xml:space="preserve">Tường xây gạch chỉ 110mm bổ trụ: </t>
  </si>
  <si>
    <t>Tường xây cay bê tông 250mm</t>
  </si>
  <si>
    <t>Công trình xây dựng: không tường bao, cột kèo sắt, mái lợp Fibroximăng, nền bê tông</t>
  </si>
  <si>
    <t>Tường xây gạch chỉ 220mm bổ trụ</t>
  </si>
  <si>
    <t>Công trình xây dựng (khu chăn nuôi): Xây gạch chỉ, cột kèo gỗ, mái lợp Fibrôximăng, nền gạch lá nem</t>
  </si>
  <si>
    <t>Công trình xây dựng: Xây gạch, nền đổ bê tông, cột kèo gỗ, mái lợp Fibrôximăng (nhà vệ sinh)</t>
  </si>
  <si>
    <t>Bể nước trên nhà vệ sinh: xây gạch, trát vữa, che tôn.</t>
  </si>
  <si>
    <t>Công trình chăn nuôi: Tường xây gạch chỉ, cột kèo gỗ, mái lợp tôn, nền đổ bê tông</t>
  </si>
  <si>
    <t>Công trình xây dựng: Xây gạch, trát vữa, cột kèo sắt, mái lợp tôn, nền đổ bê tông, có điện, cửa gỗ</t>
  </si>
  <si>
    <t>Sân bê tông</t>
  </si>
  <si>
    <t>(Kèm theo Tờ trình số           /TTr-TTQĐ ngày        /12/2023 của Trung tâm Phát triển quỹ đất và CCN thành phố Bắc Giang)</t>
  </si>
  <si>
    <t>Khi Nhà nước thu hồi đất để thực hiện dự án:  Xây dựng kênh tiêu, khuôn viên cây xanh và cảnh quan bờ sông Thương, xã Tân Tiến, thành phố Bắc Giang</t>
  </si>
  <si>
    <t xml:space="preserve"> BẢNG TỔNG HỢP TÀI SẢN  (ĐỢT 3)</t>
  </si>
  <si>
    <t>I. Tổng cộng:</t>
  </si>
  <si>
    <t>Mức BT, hỗ trợ
(%)</t>
  </si>
  <si>
    <t xml:space="preserve">Đất nông nghiệp trồng cây hàng năm </t>
  </si>
  <si>
    <t xml:space="preserve">Đất nông nghiệp trồng cây lâu năm </t>
  </si>
  <si>
    <t xml:space="preserve">Bồi thường về đất nông nghiệp trồng cây hàng năm </t>
  </si>
  <si>
    <t xml:space="preserve">Bồi thường về đất nông nghiệp trồng cây lâu năm </t>
  </si>
  <si>
    <t>Hỗ trợ đào tạo nghề 3,5trđ/1đx</t>
  </si>
  <si>
    <t>Chi phí đào, bốc mộ đã cải táng:</t>
  </si>
  <si>
    <t>Kinh phí di chuyển mộ:</t>
  </si>
  <si>
    <t>Kinh phí hỗ trợ bàn giao mặt bằng sớm đối với các hộ không phải thực hiện cưỡng chế kiểm đếm bắt buộc:</t>
  </si>
  <si>
    <t>Kinh phí hỗ trợ bàn giao mặt bằng sớm đối với các hộ phải thực hiện cưỡng chế kiểm đếm bắt buộc:</t>
  </si>
  <si>
    <t>Dự toán kinh phí hỗ trợ bàn giao mặt bằng sớm (Khuyến khích tiến độ bàn giao mặt bằng sớm)</t>
  </si>
  <si>
    <t>Chi phí hỗ trợ hợp lý khác:</t>
  </si>
  <si>
    <t>Hỗ trợ cho việc bố trí đất đai để tiếp nhận mộ:</t>
  </si>
  <si>
    <t>Kinh phí bồi thường Mộ đã cải táng, mộ xây gạch, DTCĐ từ  2m2  -:- 2,5m2</t>
  </si>
  <si>
    <t>Dự toán kinh phí hỗ trợ bàn giao mặt bằng sớm (Khuyến khích tiến độ bàn giao mặt bằng sớm): (=4.1+4.2)</t>
  </si>
  <si>
    <t xml:space="preserve">Đất trồng cây lâu năm </t>
  </si>
  <si>
    <r>
      <t xml:space="preserve">BẢNG TỔNG HỢP KINH PHÍ BỒI THƯỜNG, HỖ TRỢ GPMB (ĐỢT 3)
</t>
    </r>
    <r>
      <rPr>
        <b/>
        <sz val="14"/>
        <color indexed="8"/>
        <rFont val="Times New Roman"/>
        <family val="1"/>
      </rPr>
      <t>Khi Nhà nước thu hồi đất để thực hiện dự án: Xây dựng kênh tiêu, khuôn viên cây xanh và cảnh quan bờ sông Thương, xã Tân Tiến, thành phố Bắc Giang</t>
    </r>
  </si>
  <si>
    <t>(Kèm theo Tờ trình số        /TTr-TTQĐ ngày       /12/2023 của Trung tâm Phát triển quỹ đất và CCN thành phố)</t>
  </si>
  <si>
    <r>
      <t>đ/m</t>
    </r>
    <r>
      <rPr>
        <vertAlign val="superscript"/>
        <sz val="12"/>
        <color indexed="10"/>
        <rFont val="Times New Roman"/>
        <family val="1"/>
      </rPr>
      <t>2</t>
    </r>
    <r>
      <rPr>
        <sz val="12"/>
        <color indexed="10"/>
        <rFont val="Times New Roman"/>
        <family val="1"/>
      </rPr>
      <t>XD</t>
    </r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</si>
</sst>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-* #,##0.0\ _₫_-;\-* #,##0.0\ _₫_-;_-* &quot;-&quot;?\ _₫_-;_-@_-"/>
    <numFmt numFmtId="177" formatCode="0;[Red]0"/>
    <numFmt numFmtId="178" formatCode="0.0;[Red]0.0"/>
    <numFmt numFmtId="179" formatCode="#,##0.000"/>
    <numFmt numFmtId="180" formatCode="#,##0.0000"/>
    <numFmt numFmtId="181" formatCode="#,##0.0000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.VnTime"/>
      <family val="2"/>
    </font>
    <font>
      <sz val="13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3"/>
      <color indexed="8"/>
      <name val="Times New Roman"/>
      <family val="1"/>
    </font>
    <font>
      <b/>
      <i/>
      <sz val="18"/>
      <name val="Times New Roman"/>
      <family val="1"/>
    </font>
    <font>
      <b/>
      <i/>
      <sz val="18"/>
      <color indexed="10"/>
      <name val="Times New Roman"/>
      <family val="1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4"/>
      <color indexed="10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vertAlign val="superscript"/>
      <sz val="13"/>
      <color indexed="8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.VnTime"/>
      <family val="2"/>
    </font>
    <font>
      <b/>
      <sz val="10"/>
      <color indexed="8"/>
      <name val=".VnTime"/>
      <family val="2"/>
    </font>
    <font>
      <b/>
      <sz val="14"/>
      <color indexed="8"/>
      <name val=".VnTime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i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.VnTime"/>
      <family val="2"/>
    </font>
    <font>
      <b/>
      <sz val="10"/>
      <color theme="1"/>
      <name val=".VnTime"/>
      <family val="2"/>
    </font>
    <font>
      <b/>
      <sz val="14"/>
      <color theme="1"/>
      <name val=".VnTime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rgb="FFFF0000"/>
      <name val="Times New Roman"/>
      <family val="1"/>
    </font>
    <font>
      <sz val="10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28" borderId="2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79" fillId="27" borderId="8" applyNumberFormat="0" applyAlignment="0" applyProtection="0"/>
    <xf numFmtId="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90">
    <xf numFmtId="0" fontId="0" fillId="0" borderId="0" xfId="0" applyFont="1" applyAlignment="1">
      <alignment/>
    </xf>
    <xf numFmtId="0" fontId="83" fillId="33" borderId="10" xfId="63" applyFont="1" applyFill="1" applyBorder="1" applyAlignment="1">
      <alignment horizontal="center" vertical="center" wrapText="1"/>
      <protection/>
    </xf>
    <xf numFmtId="0" fontId="83" fillId="0" borderId="10" xfId="63" applyFont="1" applyFill="1" applyBorder="1" applyAlignment="1">
      <alignment horizontal="center" vertical="center" wrapText="1"/>
      <protection/>
    </xf>
    <xf numFmtId="0" fontId="84" fillId="0" borderId="0" xfId="59" applyFont="1" applyFill="1" applyBorder="1" applyAlignment="1">
      <alignment horizontal="center" vertical="center" wrapText="1"/>
      <protection/>
    </xf>
    <xf numFmtId="0" fontId="85" fillId="0" borderId="10" xfId="59" applyFont="1" applyFill="1" applyBorder="1" applyAlignment="1">
      <alignment horizontal="center" vertical="center" wrapText="1"/>
      <protection/>
    </xf>
    <xf numFmtId="174" fontId="85" fillId="0" borderId="10" xfId="59" applyNumberFormat="1" applyFont="1" applyFill="1" applyBorder="1" applyAlignment="1">
      <alignment horizontal="center" vertical="center" wrapText="1"/>
      <protection/>
    </xf>
    <xf numFmtId="175" fontId="85" fillId="0" borderId="10" xfId="43" applyNumberFormat="1" applyFont="1" applyFill="1" applyBorder="1" applyAlignment="1">
      <alignment horizontal="center" vertical="center" wrapText="1"/>
    </xf>
    <xf numFmtId="172" fontId="85" fillId="0" borderId="10" xfId="59" applyNumberFormat="1" applyFont="1" applyFill="1" applyBorder="1" applyAlignment="1">
      <alignment horizontal="center" vertical="center" wrapText="1"/>
      <protection/>
    </xf>
    <xf numFmtId="0" fontId="85" fillId="0" borderId="0" xfId="59" applyFont="1" applyFill="1" applyBorder="1" applyAlignment="1">
      <alignment horizontal="center" vertical="center" wrapText="1"/>
      <protection/>
    </xf>
    <xf numFmtId="1" fontId="83" fillId="0" borderId="10" xfId="59" applyNumberFormat="1" applyFont="1" applyFill="1" applyBorder="1" applyAlignment="1">
      <alignment horizontal="center" vertical="center" wrapText="1"/>
      <protection/>
    </xf>
    <xf numFmtId="0" fontId="83" fillId="0" borderId="0" xfId="59" applyFont="1" applyFill="1" applyBorder="1" applyAlignment="1">
      <alignment horizontal="center" vertical="center" wrapText="1"/>
      <protection/>
    </xf>
    <xf numFmtId="3" fontId="85" fillId="0" borderId="10" xfId="65" applyNumberFormat="1" applyFont="1" applyFill="1" applyBorder="1" applyAlignment="1">
      <alignment vertical="center" wrapText="1"/>
      <protection/>
    </xf>
    <xf numFmtId="9" fontId="84" fillId="0" borderId="10" xfId="59" applyNumberFormat="1" applyFont="1" applyFill="1" applyBorder="1" applyAlignment="1">
      <alignment horizontal="center" vertical="center" wrapText="1"/>
      <protection/>
    </xf>
    <xf numFmtId="3" fontId="85" fillId="0" borderId="10" xfId="59" applyNumberFormat="1" applyFont="1" applyFill="1" applyBorder="1" applyAlignment="1">
      <alignment horizontal="center" vertical="center" wrapText="1"/>
      <protection/>
    </xf>
    <xf numFmtId="9" fontId="84" fillId="0" borderId="10" xfId="68" applyFont="1" applyFill="1" applyBorder="1" applyAlignment="1">
      <alignment horizontal="center" vertical="center" wrapText="1"/>
    </xf>
    <xf numFmtId="3" fontId="85" fillId="0" borderId="10" xfId="65" applyNumberFormat="1" applyFont="1" applyFill="1" applyBorder="1" applyAlignment="1">
      <alignment horizontal="center" vertical="center" wrapText="1"/>
      <protection/>
    </xf>
    <xf numFmtId="0" fontId="86" fillId="0" borderId="10" xfId="65" applyFont="1" applyFill="1" applyBorder="1" applyAlignment="1">
      <alignment horizontal="left" vertical="center" wrapText="1"/>
      <protection/>
    </xf>
    <xf numFmtId="3" fontId="87" fillId="0" borderId="0" xfId="59" applyNumberFormat="1" applyFont="1" applyFill="1" applyBorder="1" applyAlignment="1">
      <alignment vertical="center" wrapText="1"/>
      <protection/>
    </xf>
    <xf numFmtId="0" fontId="87" fillId="0" borderId="0" xfId="65" applyFont="1" applyFill="1" applyBorder="1" applyAlignment="1">
      <alignment vertical="center" wrapText="1"/>
      <protection/>
    </xf>
    <xf numFmtId="175" fontId="84" fillId="0" borderId="10" xfId="41" applyNumberFormat="1" applyFont="1" applyFill="1" applyBorder="1" applyAlignment="1">
      <alignment horizontal="right" vertical="center" wrapText="1"/>
    </xf>
    <xf numFmtId="0" fontId="84" fillId="0" borderId="10" xfId="65" applyNumberFormat="1" applyFont="1" applyFill="1" applyBorder="1" applyAlignment="1">
      <alignment horizontal="center" vertical="center" wrapText="1"/>
      <protection/>
    </xf>
    <xf numFmtId="3" fontId="84" fillId="0" borderId="10" xfId="65" applyNumberFormat="1" applyFont="1" applyFill="1" applyBorder="1" applyAlignment="1">
      <alignment vertical="center" wrapText="1"/>
      <protection/>
    </xf>
    <xf numFmtId="3" fontId="85" fillId="0" borderId="10" xfId="65" applyNumberFormat="1" applyFont="1" applyFill="1" applyBorder="1" applyAlignment="1">
      <alignment horizontal="right" vertical="center" wrapText="1"/>
      <protection/>
    </xf>
    <xf numFmtId="3" fontId="84" fillId="0" borderId="10" xfId="65" applyNumberFormat="1" applyFont="1" applyFill="1" applyBorder="1" applyAlignment="1">
      <alignment horizontal="center" vertical="center" wrapText="1"/>
      <protection/>
    </xf>
    <xf numFmtId="3" fontId="87" fillId="0" borderId="0" xfId="65" applyNumberFormat="1" applyFont="1" applyFill="1" applyBorder="1" applyAlignment="1">
      <alignment vertical="center" wrapText="1"/>
      <protection/>
    </xf>
    <xf numFmtId="0" fontId="85" fillId="0" borderId="10" xfId="59" applyFont="1" applyFill="1" applyBorder="1" applyAlignment="1">
      <alignment vertical="center" wrapText="1"/>
      <protection/>
    </xf>
    <xf numFmtId="0" fontId="85" fillId="0" borderId="10" xfId="59" applyFont="1" applyFill="1" applyBorder="1" applyAlignment="1">
      <alignment horizontal="right" vertical="center" wrapText="1"/>
      <protection/>
    </xf>
    <xf numFmtId="0" fontId="84" fillId="0" borderId="10" xfId="59" applyFont="1" applyFill="1" applyBorder="1" applyAlignment="1">
      <alignment horizontal="center" vertical="center" wrapText="1"/>
      <protection/>
    </xf>
    <xf numFmtId="3" fontId="85" fillId="0" borderId="10" xfId="59" applyNumberFormat="1" applyFont="1" applyFill="1" applyBorder="1" applyAlignment="1">
      <alignment horizontal="right" vertical="center" wrapText="1"/>
      <protection/>
    </xf>
    <xf numFmtId="3" fontId="84" fillId="0" borderId="10" xfId="59" applyNumberFormat="1" applyFont="1" applyFill="1" applyBorder="1" applyAlignment="1">
      <alignment horizontal="center" vertical="center" wrapText="1"/>
      <protection/>
    </xf>
    <xf numFmtId="0" fontId="87" fillId="0" borderId="0" xfId="59" applyFont="1" applyFill="1" applyBorder="1" applyAlignment="1">
      <alignment vertical="center" wrapText="1"/>
      <protection/>
    </xf>
    <xf numFmtId="0" fontId="85" fillId="0" borderId="10" xfId="65" applyFont="1" applyFill="1" applyBorder="1" applyAlignment="1">
      <alignment horizontal="center" vertical="center" wrapText="1"/>
      <protection/>
    </xf>
    <xf numFmtId="0" fontId="85" fillId="0" borderId="10" xfId="65" applyNumberFormat="1" applyFont="1" applyFill="1" applyBorder="1" applyAlignment="1">
      <alignment horizontal="left" vertical="center" wrapText="1"/>
      <protection/>
    </xf>
    <xf numFmtId="0" fontId="85" fillId="0" borderId="10" xfId="65" applyNumberFormat="1" applyFont="1" applyFill="1" applyBorder="1" applyAlignment="1">
      <alignment horizontal="center" vertical="center" wrapText="1"/>
      <protection/>
    </xf>
    <xf numFmtId="175" fontId="88" fillId="0" borderId="0" xfId="41" applyNumberFormat="1" applyFont="1" applyFill="1" applyBorder="1" applyAlignment="1">
      <alignment vertical="center" wrapText="1"/>
    </xf>
    <xf numFmtId="175" fontId="89" fillId="0" borderId="0" xfId="65" applyNumberFormat="1" applyFont="1" applyFill="1" applyBorder="1" applyAlignment="1">
      <alignment vertical="center" wrapText="1"/>
      <protection/>
    </xf>
    <xf numFmtId="0" fontId="89" fillId="0" borderId="0" xfId="65" applyFont="1" applyFill="1" applyBorder="1" applyAlignment="1">
      <alignment vertical="center" wrapText="1"/>
      <protection/>
    </xf>
    <xf numFmtId="0" fontId="84" fillId="0" borderId="10" xfId="65" applyFont="1" applyFill="1" applyBorder="1" applyAlignment="1">
      <alignment horizontal="center" vertical="center" wrapText="1"/>
      <protection/>
    </xf>
    <xf numFmtId="0" fontId="84" fillId="0" borderId="10" xfId="65" applyNumberFormat="1" applyFont="1" applyFill="1" applyBorder="1" applyAlignment="1">
      <alignment horizontal="left" vertical="center" wrapText="1"/>
      <protection/>
    </xf>
    <xf numFmtId="172" fontId="84" fillId="0" borderId="10" xfId="65" applyNumberFormat="1" applyFont="1" applyFill="1" applyBorder="1" applyAlignment="1">
      <alignment horizontal="center" vertical="center" wrapText="1"/>
      <protection/>
    </xf>
    <xf numFmtId="3" fontId="84" fillId="0" borderId="10" xfId="65" applyNumberFormat="1" applyFont="1" applyFill="1" applyBorder="1" applyAlignment="1">
      <alignment horizontal="right" vertical="center" wrapText="1"/>
      <protection/>
    </xf>
    <xf numFmtId="3" fontId="89" fillId="0" borderId="0" xfId="65" applyNumberFormat="1" applyFont="1" applyFill="1" applyBorder="1" applyAlignment="1">
      <alignment vertical="center" wrapText="1"/>
      <protection/>
    </xf>
    <xf numFmtId="0" fontId="84" fillId="0" borderId="10" xfId="65" applyNumberFormat="1" applyFont="1" applyFill="1" applyBorder="1" applyAlignment="1">
      <alignment horizontal="right" vertical="center" wrapText="1"/>
      <protection/>
    </xf>
    <xf numFmtId="0" fontId="90" fillId="0" borderId="10" xfId="65" applyNumberFormat="1" applyFont="1" applyFill="1" applyBorder="1" applyAlignment="1">
      <alignment horizontal="left" vertical="center" wrapText="1"/>
      <protection/>
    </xf>
    <xf numFmtId="0" fontId="91" fillId="0" borderId="0" xfId="59" applyFont="1" applyFill="1" applyBorder="1" applyAlignment="1">
      <alignment horizontal="center" vertical="center" wrapText="1"/>
      <protection/>
    </xf>
    <xf numFmtId="174" fontId="85" fillId="0" borderId="0" xfId="59" applyNumberFormat="1" applyFont="1" applyFill="1" applyBorder="1" applyAlignment="1">
      <alignment horizontal="center" vertical="center" wrapText="1"/>
      <protection/>
    </xf>
    <xf numFmtId="0" fontId="84" fillId="0" borderId="0" xfId="59" applyFont="1" applyFill="1" applyBorder="1" applyAlignment="1">
      <alignment horizontal="left" vertical="center" wrapText="1"/>
      <protection/>
    </xf>
    <xf numFmtId="175" fontId="84" fillId="0" borderId="0" xfId="43" applyNumberFormat="1" applyFont="1" applyFill="1" applyBorder="1" applyAlignment="1">
      <alignment horizontal="right" vertical="center" wrapText="1"/>
    </xf>
    <xf numFmtId="174" fontId="84" fillId="0" borderId="0" xfId="59" applyNumberFormat="1" applyFont="1" applyFill="1" applyBorder="1" applyAlignment="1">
      <alignment horizontal="right" vertical="center" wrapText="1"/>
      <protection/>
    </xf>
    <xf numFmtId="172" fontId="91" fillId="0" borderId="10" xfId="0" applyNumberFormat="1" applyFont="1" applyFill="1" applyBorder="1" applyAlignment="1">
      <alignment horizontal="center" vertical="center" wrapText="1"/>
    </xf>
    <xf numFmtId="3" fontId="91" fillId="0" borderId="10" xfId="0" applyNumberFormat="1" applyFont="1" applyFill="1" applyBorder="1" applyAlignment="1">
      <alignment horizontal="center" vertical="center" wrapText="1"/>
    </xf>
    <xf numFmtId="1" fontId="91" fillId="0" borderId="10" xfId="0" applyNumberFormat="1" applyFont="1" applyFill="1" applyBorder="1" applyAlignment="1">
      <alignment horizontal="center" vertical="center" wrapText="1"/>
    </xf>
    <xf numFmtId="3" fontId="84" fillId="0" borderId="10" xfId="65" applyNumberFormat="1" applyFont="1" applyFill="1" applyBorder="1" applyAlignment="1">
      <alignment horizontal="center" vertical="center" wrapText="1"/>
      <protection/>
    </xf>
    <xf numFmtId="0" fontId="85" fillId="0" borderId="10" xfId="59" applyFont="1" applyFill="1" applyBorder="1" applyAlignment="1">
      <alignment horizontal="center" vertical="center" wrapText="1"/>
      <protection/>
    </xf>
    <xf numFmtId="0" fontId="85" fillId="0" borderId="10" xfId="65" applyFont="1" applyFill="1" applyBorder="1" applyAlignment="1">
      <alignment horizontal="center" vertical="center" wrapText="1"/>
      <protection/>
    </xf>
    <xf numFmtId="0" fontId="91" fillId="0" borderId="10" xfId="59" applyFont="1" applyFill="1" applyBorder="1" applyAlignment="1">
      <alignment horizontal="center" vertical="center" wrapText="1"/>
      <protection/>
    </xf>
    <xf numFmtId="172" fontId="85" fillId="0" borderId="10" xfId="0" applyNumberFormat="1" applyFont="1" applyFill="1" applyBorder="1" applyAlignment="1">
      <alignment horizontal="center" vertical="center" wrapText="1"/>
    </xf>
    <xf numFmtId="14" fontId="83" fillId="33" borderId="11" xfId="63" applyNumberFormat="1" applyFont="1" applyFill="1" applyBorder="1" applyAlignment="1">
      <alignment horizontal="center" vertical="center" wrapText="1"/>
      <protection/>
    </xf>
    <xf numFmtId="3" fontId="85" fillId="33" borderId="12" xfId="0" applyNumberFormat="1" applyFont="1" applyFill="1" applyBorder="1" applyAlignment="1">
      <alignment horizontal="center" vertical="center" wrapText="1"/>
    </xf>
    <xf numFmtId="0" fontId="91" fillId="0" borderId="10" xfId="63" applyFont="1" applyFill="1" applyBorder="1" applyAlignment="1">
      <alignment horizontal="center" vertical="center" wrapText="1"/>
      <protection/>
    </xf>
    <xf numFmtId="175" fontId="91" fillId="0" borderId="10" xfId="41" applyNumberFormat="1" applyFont="1" applyFill="1" applyBorder="1" applyAlignment="1">
      <alignment horizontal="center" vertical="center" wrapText="1"/>
    </xf>
    <xf numFmtId="0" fontId="92" fillId="0" borderId="10" xfId="63" applyFont="1" applyFill="1" applyBorder="1" applyAlignment="1">
      <alignment horizontal="center" vertical="center" wrapText="1"/>
      <protection/>
    </xf>
    <xf numFmtId="172" fontId="84" fillId="0" borderId="10" xfId="0" applyNumberFormat="1" applyFont="1" applyFill="1" applyBorder="1" applyAlignment="1">
      <alignment horizontal="center" vertical="center" wrapText="1"/>
    </xf>
    <xf numFmtId="0" fontId="93" fillId="0" borderId="10" xfId="63" applyFont="1" applyFill="1" applyBorder="1" applyAlignment="1">
      <alignment horizontal="left" vertical="center"/>
      <protection/>
    </xf>
    <xf numFmtId="0" fontId="93" fillId="0" borderId="0" xfId="63" applyFont="1" applyFill="1" applyBorder="1" applyAlignment="1">
      <alignment horizontal="left" vertical="center"/>
      <protection/>
    </xf>
    <xf numFmtId="3" fontId="94" fillId="34" borderId="0" xfId="0" applyNumberFormat="1" applyFont="1" applyFill="1" applyBorder="1" applyAlignment="1">
      <alignment horizontal="center" vertical="center" wrapText="1"/>
    </xf>
    <xf numFmtId="172" fontId="95" fillId="34" borderId="10" xfId="0" applyNumberFormat="1" applyFont="1" applyFill="1" applyBorder="1" applyAlignment="1">
      <alignment horizontal="center" vertical="center" wrapText="1"/>
    </xf>
    <xf numFmtId="3" fontId="95" fillId="34" borderId="10" xfId="0" applyNumberFormat="1" applyFont="1" applyFill="1" applyBorder="1" applyAlignment="1">
      <alignment horizontal="center" vertical="center" wrapText="1"/>
    </xf>
    <xf numFmtId="0" fontId="95" fillId="34" borderId="10" xfId="41" applyNumberFormat="1" applyFont="1" applyFill="1" applyBorder="1" applyAlignment="1">
      <alignment horizontal="center" vertical="center"/>
    </xf>
    <xf numFmtId="9" fontId="95" fillId="34" borderId="10" xfId="68" applyFont="1" applyFill="1" applyBorder="1" applyAlignment="1">
      <alignment horizontal="center" vertical="center" wrapText="1"/>
    </xf>
    <xf numFmtId="3" fontId="96" fillId="34" borderId="10" xfId="0" applyNumberFormat="1" applyFont="1" applyFill="1" applyBorder="1" applyAlignment="1">
      <alignment horizontal="left" vertical="center" wrapText="1"/>
    </xf>
    <xf numFmtId="1" fontId="95" fillId="34" borderId="10" xfId="0" applyNumberFormat="1" applyFont="1" applyFill="1" applyBorder="1" applyAlignment="1">
      <alignment horizontal="center" vertical="center"/>
    </xf>
    <xf numFmtId="173" fontId="95" fillId="34" borderId="10" xfId="0" applyNumberFormat="1" applyFont="1" applyFill="1" applyBorder="1" applyAlignment="1">
      <alignment horizontal="center" vertical="center"/>
    </xf>
    <xf numFmtId="2" fontId="96" fillId="34" borderId="10" xfId="0" applyNumberFormat="1" applyFont="1" applyFill="1" applyBorder="1" applyAlignment="1">
      <alignment horizontal="center" vertical="center" wrapText="1"/>
    </xf>
    <xf numFmtId="2" fontId="95" fillId="34" borderId="10" xfId="0" applyNumberFormat="1" applyFont="1" applyFill="1" applyBorder="1" applyAlignment="1">
      <alignment horizontal="left" vertical="center" wrapText="1"/>
    </xf>
    <xf numFmtId="3" fontId="85" fillId="34" borderId="0" xfId="0" applyNumberFormat="1" applyFont="1" applyFill="1" applyBorder="1" applyAlignment="1">
      <alignment horizontal="center" vertical="center" wrapText="1"/>
    </xf>
    <xf numFmtId="1" fontId="84" fillId="0" borderId="10" xfId="0" applyNumberFormat="1" applyFont="1" applyFill="1" applyBorder="1" applyAlignment="1">
      <alignment horizontal="center" vertical="center"/>
    </xf>
    <xf numFmtId="2" fontId="84" fillId="0" borderId="10" xfId="0" applyNumberFormat="1" applyFont="1" applyFill="1" applyBorder="1" applyAlignment="1">
      <alignment horizontal="left" vertical="center" wrapText="1"/>
    </xf>
    <xf numFmtId="173" fontId="84" fillId="0" borderId="10" xfId="0" applyNumberFormat="1" applyFont="1" applyFill="1" applyBorder="1" applyAlignment="1">
      <alignment horizontal="center" vertical="center"/>
    </xf>
    <xf numFmtId="2" fontId="97" fillId="0" borderId="10" xfId="0" applyNumberFormat="1" applyFont="1" applyFill="1" applyBorder="1" applyAlignment="1">
      <alignment horizontal="center" vertical="center" wrapText="1"/>
    </xf>
    <xf numFmtId="172" fontId="84" fillId="34" borderId="10" xfId="0" applyNumberFormat="1" applyFont="1" applyFill="1" applyBorder="1" applyAlignment="1">
      <alignment horizontal="center" vertical="center" wrapText="1"/>
    </xf>
    <xf numFmtId="3" fontId="84" fillId="34" borderId="10" xfId="0" applyNumberFormat="1" applyFont="1" applyFill="1" applyBorder="1" applyAlignment="1">
      <alignment horizontal="center" vertical="center" wrapText="1"/>
    </xf>
    <xf numFmtId="9" fontId="84" fillId="34" borderId="10" xfId="68" applyFont="1" applyFill="1" applyBorder="1" applyAlignment="1">
      <alignment horizontal="center" vertical="center" wrapText="1"/>
    </xf>
    <xf numFmtId="3" fontId="85" fillId="34" borderId="10" xfId="0" applyNumberFormat="1" applyFont="1" applyFill="1" applyBorder="1" applyAlignment="1">
      <alignment horizontal="center" vertical="center" wrapText="1"/>
    </xf>
    <xf numFmtId="1" fontId="84" fillId="34" borderId="10" xfId="0" applyNumberFormat="1" applyFont="1" applyFill="1" applyBorder="1" applyAlignment="1">
      <alignment horizontal="center" vertical="center"/>
    </xf>
    <xf numFmtId="2" fontId="84" fillId="34" borderId="10" xfId="0" applyNumberFormat="1" applyFont="1" applyFill="1" applyBorder="1" applyAlignment="1">
      <alignment horizontal="left" vertical="center" wrapText="1"/>
    </xf>
    <xf numFmtId="173" fontId="84" fillId="34" borderId="10" xfId="0" applyNumberFormat="1" applyFont="1" applyFill="1" applyBorder="1" applyAlignment="1">
      <alignment horizontal="center" vertical="center"/>
    </xf>
    <xf numFmtId="2" fontId="97" fillId="34" borderId="10" xfId="0" applyNumberFormat="1" applyFont="1" applyFill="1" applyBorder="1" applyAlignment="1">
      <alignment horizontal="center" vertical="center" wrapText="1"/>
    </xf>
    <xf numFmtId="0" fontId="93" fillId="33" borderId="0" xfId="63" applyFont="1" applyFill="1" applyAlignment="1">
      <alignment horizontal="center" vertical="center"/>
      <protection/>
    </xf>
    <xf numFmtId="3" fontId="85" fillId="0" borderId="10" xfId="0" applyNumberFormat="1" applyFont="1" applyFill="1" applyBorder="1" applyAlignment="1">
      <alignment horizontal="center" vertical="center" wrapText="1"/>
    </xf>
    <xf numFmtId="0" fontId="84" fillId="34" borderId="10" xfId="41" applyNumberFormat="1" applyFont="1" applyFill="1" applyBorder="1" applyAlignment="1">
      <alignment horizontal="center" vertical="center"/>
    </xf>
    <xf numFmtId="3" fontId="97" fillId="34" borderId="10" xfId="0" applyNumberFormat="1" applyFont="1" applyFill="1" applyBorder="1" applyAlignment="1">
      <alignment horizontal="left" vertical="center" wrapText="1"/>
    </xf>
    <xf numFmtId="0" fontId="85" fillId="0" borderId="10" xfId="65" applyNumberFormat="1" applyFont="1" applyFill="1" applyBorder="1" applyAlignment="1">
      <alignment horizontal="center" vertical="center" wrapText="1"/>
      <protection/>
    </xf>
    <xf numFmtId="3" fontId="84" fillId="0" borderId="10" xfId="65" applyNumberFormat="1" applyFont="1" applyFill="1" applyBorder="1" applyAlignment="1">
      <alignment horizontal="center" vertical="center" wrapText="1"/>
      <protection/>
    </xf>
    <xf numFmtId="0" fontId="85" fillId="0" borderId="10" xfId="65" applyFont="1" applyFill="1" applyBorder="1" applyAlignment="1">
      <alignment horizontal="center" vertical="center" wrapText="1"/>
      <protection/>
    </xf>
    <xf numFmtId="0" fontId="85" fillId="0" borderId="10" xfId="65" applyNumberFormat="1" applyFont="1" applyFill="1" applyBorder="1" applyAlignment="1">
      <alignment horizontal="center" vertical="center" wrapText="1"/>
      <protection/>
    </xf>
    <xf numFmtId="3" fontId="84" fillId="0" borderId="10" xfId="65" applyNumberFormat="1" applyFont="1" applyFill="1" applyBorder="1" applyAlignment="1">
      <alignment horizontal="center" vertical="center" wrapText="1"/>
      <protection/>
    </xf>
    <xf numFmtId="0" fontId="85" fillId="0" borderId="10" xfId="65" applyFont="1" applyFill="1" applyBorder="1" applyAlignment="1">
      <alignment horizontal="center" vertical="center" wrapText="1"/>
      <protection/>
    </xf>
    <xf numFmtId="0" fontId="3" fillId="34" borderId="0" xfId="62" applyFont="1" applyFill="1" applyBorder="1" applyAlignment="1">
      <alignment vertical="center"/>
      <protection/>
    </xf>
    <xf numFmtId="0" fontId="98" fillId="34" borderId="0" xfId="62" applyFont="1" applyFill="1" applyBorder="1" applyAlignment="1">
      <alignment horizontal="center" vertical="top"/>
      <protection/>
    </xf>
    <xf numFmtId="0" fontId="3" fillId="34" borderId="0" xfId="62" applyFont="1" applyFill="1" applyBorder="1" applyAlignment="1">
      <alignment vertical="top"/>
      <protection/>
    </xf>
    <xf numFmtId="0" fontId="2" fillId="34" borderId="0" xfId="62" applyFont="1" applyFill="1" applyBorder="1" applyAlignment="1">
      <alignment horizontal="center"/>
      <protection/>
    </xf>
    <xf numFmtId="0" fontId="2" fillId="34" borderId="0" xfId="62" applyFont="1" applyFill="1" applyBorder="1" applyAlignment="1">
      <alignment horizontal="left" vertical="center" wrapText="1"/>
      <protection/>
    </xf>
    <xf numFmtId="0" fontId="2" fillId="34" borderId="0" xfId="62" applyFont="1" applyFill="1" applyBorder="1" applyAlignment="1">
      <alignment horizontal="center" vertical="center" wrapText="1"/>
      <protection/>
    </xf>
    <xf numFmtId="0" fontId="2" fillId="34" borderId="0" xfId="62" applyFont="1" applyFill="1" applyBorder="1" applyAlignment="1">
      <alignment horizontal="center" vertical="center"/>
      <protection/>
    </xf>
    <xf numFmtId="2" fontId="2" fillId="34" borderId="0" xfId="62" applyNumberFormat="1" applyFont="1" applyFill="1" applyBorder="1" applyAlignment="1">
      <alignment horizontal="center"/>
      <protection/>
    </xf>
    <xf numFmtId="3" fontId="2" fillId="34" borderId="0" xfId="62" applyNumberFormat="1" applyFont="1" applyFill="1" applyBorder="1" applyAlignment="1">
      <alignment horizontal="center"/>
      <protection/>
    </xf>
    <xf numFmtId="0" fontId="3" fillId="34" borderId="0" xfId="62" applyFont="1" applyFill="1" applyBorder="1" applyAlignment="1">
      <alignment horizontal="center" vertical="center"/>
      <protection/>
    </xf>
    <xf numFmtId="0" fontId="16" fillId="34" borderId="13" xfId="62" applyFont="1" applyFill="1" applyBorder="1" applyAlignment="1">
      <alignment horizontal="center" vertical="center"/>
      <protection/>
    </xf>
    <xf numFmtId="0" fontId="16" fillId="34" borderId="10" xfId="62" applyFont="1" applyFill="1" applyBorder="1" applyAlignment="1">
      <alignment horizontal="center" vertical="center" wrapText="1"/>
      <protection/>
    </xf>
    <xf numFmtId="0" fontId="16" fillId="34" borderId="10" xfId="62" applyFont="1" applyFill="1" applyBorder="1" applyAlignment="1">
      <alignment horizontal="center" vertical="center"/>
      <protection/>
    </xf>
    <xf numFmtId="1" fontId="16" fillId="34" borderId="10" xfId="62" applyNumberFormat="1" applyFont="1" applyFill="1" applyBorder="1" applyAlignment="1">
      <alignment horizontal="center" vertical="center"/>
      <protection/>
    </xf>
    <xf numFmtId="3" fontId="16" fillId="34" borderId="10" xfId="62" applyNumberFormat="1" applyFont="1" applyFill="1" applyBorder="1" applyAlignment="1">
      <alignment horizontal="center" vertical="center"/>
      <protection/>
    </xf>
    <xf numFmtId="0" fontId="16" fillId="34" borderId="0" xfId="62" applyFont="1" applyFill="1" applyBorder="1" applyAlignment="1">
      <alignment horizontal="center" vertical="center"/>
      <protection/>
    </xf>
    <xf numFmtId="3" fontId="2" fillId="34" borderId="10" xfId="62" applyNumberFormat="1" applyFont="1" applyFill="1" applyBorder="1" applyAlignment="1">
      <alignment horizontal="center" vertical="center"/>
      <protection/>
    </xf>
    <xf numFmtId="0" fontId="84" fillId="34" borderId="0" xfId="62" applyFont="1" applyFill="1" applyBorder="1" applyAlignment="1">
      <alignment vertical="center"/>
      <protection/>
    </xf>
    <xf numFmtId="0" fontId="99" fillId="34" borderId="0" xfId="62" applyFont="1" applyFill="1" applyBorder="1" applyAlignment="1">
      <alignment horizontal="center" vertical="center"/>
      <protection/>
    </xf>
    <xf numFmtId="0" fontId="99" fillId="34" borderId="0" xfId="62" applyFont="1" applyFill="1" applyBorder="1" applyAlignment="1">
      <alignment horizontal="center"/>
      <protection/>
    </xf>
    <xf numFmtId="0" fontId="100" fillId="34" borderId="0" xfId="62" applyFont="1" applyFill="1" applyBorder="1" applyAlignment="1">
      <alignment horizontal="center"/>
      <protection/>
    </xf>
    <xf numFmtId="0" fontId="84" fillId="34" borderId="0" xfId="62" applyFont="1" applyFill="1" applyBorder="1">
      <alignment/>
      <protection/>
    </xf>
    <xf numFmtId="0" fontId="100" fillId="34" borderId="0" xfId="62" applyFont="1" applyFill="1" applyBorder="1" applyAlignment="1">
      <alignment horizontal="center" vertical="center"/>
      <protection/>
    </xf>
    <xf numFmtId="0" fontId="100" fillId="34" borderId="0" xfId="62" applyFont="1" applyFill="1" applyBorder="1" applyAlignment="1">
      <alignment horizontal="left" vertical="center" wrapText="1"/>
      <protection/>
    </xf>
    <xf numFmtId="0" fontId="100" fillId="34" borderId="0" xfId="62" applyFont="1" applyFill="1" applyBorder="1" applyAlignment="1">
      <alignment horizontal="center" vertical="center" wrapText="1"/>
      <protection/>
    </xf>
    <xf numFmtId="2" fontId="100" fillId="34" borderId="0" xfId="62" applyNumberFormat="1" applyFont="1" applyFill="1" applyBorder="1" applyAlignment="1">
      <alignment horizontal="center"/>
      <protection/>
    </xf>
    <xf numFmtId="3" fontId="100" fillId="34" borderId="0" xfId="62" applyNumberFormat="1" applyFont="1" applyFill="1" applyBorder="1" applyAlignment="1">
      <alignment horizontal="center"/>
      <protection/>
    </xf>
    <xf numFmtId="175" fontId="100" fillId="34" borderId="0" xfId="62" applyNumberFormat="1" applyFont="1" applyFill="1" applyBorder="1" applyAlignment="1">
      <alignment horizontal="center"/>
      <protection/>
    </xf>
    <xf numFmtId="3" fontId="100" fillId="34" borderId="0" xfId="62" applyNumberFormat="1" applyFont="1" applyFill="1" applyBorder="1" applyAlignment="1">
      <alignment horizontal="center" vertical="center" wrapText="1"/>
      <protection/>
    </xf>
    <xf numFmtId="0" fontId="100" fillId="34" borderId="0" xfId="62" applyFont="1" applyFill="1" applyBorder="1" applyAlignment="1">
      <alignment/>
      <protection/>
    </xf>
    <xf numFmtId="0" fontId="84" fillId="34" borderId="0" xfId="62" applyFont="1" applyFill="1" applyBorder="1" applyAlignment="1">
      <alignment horizontal="center"/>
      <protection/>
    </xf>
    <xf numFmtId="0" fontId="84" fillId="34" borderId="0" xfId="62" applyFont="1" applyFill="1" applyBorder="1" applyAlignment="1">
      <alignment horizontal="left" vertical="center" wrapText="1"/>
      <protection/>
    </xf>
    <xf numFmtId="0" fontId="84" fillId="34" borderId="0" xfId="62" applyFont="1" applyFill="1" applyBorder="1" applyAlignment="1">
      <alignment horizontal="center" vertical="center" wrapText="1"/>
      <protection/>
    </xf>
    <xf numFmtId="0" fontId="84" fillId="34" borderId="0" xfId="62" applyFont="1" applyFill="1" applyBorder="1" applyAlignment="1">
      <alignment horizontal="center" vertical="center"/>
      <protection/>
    </xf>
    <xf numFmtId="2" fontId="84" fillId="34" borderId="0" xfId="62" applyNumberFormat="1" applyFont="1" applyFill="1" applyBorder="1" applyAlignment="1">
      <alignment horizontal="center"/>
      <protection/>
    </xf>
    <xf numFmtId="3" fontId="84" fillId="34" borderId="0" xfId="62" applyNumberFormat="1" applyFont="1" applyFill="1" applyBorder="1" applyAlignment="1">
      <alignment horizontal="center"/>
      <protection/>
    </xf>
    <xf numFmtId="0" fontId="85" fillId="34" borderId="0" xfId="62" applyFont="1" applyFill="1" applyBorder="1" applyAlignment="1">
      <alignment horizontal="center" vertical="center"/>
      <protection/>
    </xf>
    <xf numFmtId="0" fontId="85" fillId="34" borderId="0" xfId="62" applyFont="1" applyFill="1" applyBorder="1" applyAlignment="1">
      <alignment horizontal="center"/>
      <protection/>
    </xf>
    <xf numFmtId="0" fontId="85" fillId="34" borderId="0" xfId="62" applyFont="1" applyFill="1" applyBorder="1">
      <alignment/>
      <protection/>
    </xf>
    <xf numFmtId="0" fontId="3" fillId="34" borderId="0" xfId="62" applyFont="1" applyFill="1" applyBorder="1" applyAlignment="1">
      <alignment horizontal="center"/>
      <protection/>
    </xf>
    <xf numFmtId="0" fontId="3" fillId="34" borderId="0" xfId="62" applyFont="1" applyFill="1" applyBorder="1" applyAlignment="1">
      <alignment horizontal="left" vertical="center" wrapText="1"/>
      <protection/>
    </xf>
    <xf numFmtId="0" fontId="3" fillId="34" borderId="0" xfId="62" applyFont="1" applyFill="1" applyBorder="1" applyAlignment="1">
      <alignment horizontal="center" vertical="center" wrapText="1"/>
      <protection/>
    </xf>
    <xf numFmtId="2" fontId="3" fillId="34" borderId="0" xfId="62" applyNumberFormat="1" applyFont="1" applyFill="1" applyBorder="1" applyAlignment="1">
      <alignment horizontal="center"/>
      <protection/>
    </xf>
    <xf numFmtId="3" fontId="3" fillId="34" borderId="0" xfId="62" applyNumberFormat="1" applyFont="1" applyFill="1" applyBorder="1" applyAlignment="1">
      <alignment horizontal="center"/>
      <protection/>
    </xf>
    <xf numFmtId="0" fontId="3" fillId="34" borderId="0" xfId="62" applyFont="1" applyFill="1" applyBorder="1">
      <alignment/>
      <protection/>
    </xf>
    <xf numFmtId="0" fontId="3" fillId="34" borderId="13" xfId="62" applyFont="1" applyFill="1" applyBorder="1" applyAlignment="1">
      <alignment horizontal="center"/>
      <protection/>
    </xf>
    <xf numFmtId="0" fontId="3" fillId="34" borderId="10" xfId="62" applyFont="1" applyFill="1" applyBorder="1" applyAlignment="1">
      <alignment horizontal="left" vertical="center" wrapText="1"/>
      <protection/>
    </xf>
    <xf numFmtId="0" fontId="3" fillId="34" borderId="10" xfId="62" applyFont="1" applyFill="1" applyBorder="1" applyAlignment="1">
      <alignment horizontal="center" vertical="center" wrapText="1"/>
      <protection/>
    </xf>
    <xf numFmtId="0" fontId="3" fillId="34" borderId="10" xfId="62" applyFont="1" applyFill="1" applyBorder="1" applyAlignment="1">
      <alignment horizontal="center"/>
      <protection/>
    </xf>
    <xf numFmtId="0" fontId="3" fillId="34" borderId="10" xfId="62" applyFont="1" applyFill="1" applyBorder="1" applyAlignment="1">
      <alignment horizontal="center" vertical="center"/>
      <protection/>
    </xf>
    <xf numFmtId="2" fontId="3" fillId="34" borderId="10" xfId="62" applyNumberFormat="1" applyFont="1" applyFill="1" applyBorder="1" applyAlignment="1">
      <alignment horizontal="center"/>
      <protection/>
    </xf>
    <xf numFmtId="3" fontId="3" fillId="34" borderId="10" xfId="62" applyNumberFormat="1" applyFont="1" applyFill="1" applyBorder="1" applyAlignment="1">
      <alignment horizontal="center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2" xfId="62" applyFont="1" applyFill="1" applyBorder="1" applyAlignment="1">
      <alignment horizontal="center" vertical="center"/>
      <protection/>
    </xf>
    <xf numFmtId="0" fontId="3" fillId="34" borderId="12" xfId="62" applyFont="1" applyFill="1" applyBorder="1" applyAlignment="1">
      <alignment horizontal="center"/>
      <protection/>
    </xf>
    <xf numFmtId="0" fontId="99" fillId="34" borderId="0" xfId="62" applyFont="1" applyFill="1" applyBorder="1" applyAlignment="1">
      <alignment horizontal="center" vertical="top"/>
      <protection/>
    </xf>
    <xf numFmtId="0" fontId="84" fillId="34" borderId="0" xfId="62" applyFont="1" applyFill="1" applyBorder="1" applyAlignment="1">
      <alignment vertical="top"/>
      <protection/>
    </xf>
    <xf numFmtId="0" fontId="85" fillId="34" borderId="0" xfId="62" applyFont="1" applyFill="1" applyBorder="1" applyAlignment="1">
      <alignment horizontal="left" vertical="center" wrapText="1"/>
      <protection/>
    </xf>
    <xf numFmtId="0" fontId="85" fillId="34" borderId="0" xfId="62" applyFont="1" applyFill="1" applyBorder="1" applyAlignment="1">
      <alignment horizontal="center" vertical="center" wrapText="1"/>
      <protection/>
    </xf>
    <xf numFmtId="0" fontId="101" fillId="34" borderId="13" xfId="62" applyFont="1" applyFill="1" applyBorder="1" applyAlignment="1">
      <alignment horizontal="center" vertical="center"/>
      <protection/>
    </xf>
    <xf numFmtId="0" fontId="101" fillId="34" borderId="10" xfId="62" applyFont="1" applyFill="1" applyBorder="1" applyAlignment="1">
      <alignment horizontal="center" vertical="center" wrapText="1"/>
      <protection/>
    </xf>
    <xf numFmtId="0" fontId="101" fillId="34" borderId="10" xfId="62" applyFont="1" applyFill="1" applyBorder="1" applyAlignment="1">
      <alignment horizontal="center" vertical="center"/>
      <protection/>
    </xf>
    <xf numFmtId="0" fontId="101" fillId="34" borderId="12" xfId="62" applyFont="1" applyFill="1" applyBorder="1" applyAlignment="1">
      <alignment horizontal="center" vertical="center"/>
      <protection/>
    </xf>
    <xf numFmtId="0" fontId="101" fillId="34" borderId="0" xfId="62" applyFont="1" applyFill="1" applyBorder="1" applyAlignment="1">
      <alignment horizontal="center" vertical="center"/>
      <protection/>
    </xf>
    <xf numFmtId="1" fontId="85" fillId="34" borderId="12" xfId="62" applyNumberFormat="1" applyFont="1" applyFill="1" applyBorder="1" applyAlignment="1">
      <alignment horizontal="center" vertical="center"/>
      <protection/>
    </xf>
    <xf numFmtId="0" fontId="84" fillId="34" borderId="10" xfId="62" applyFont="1" applyFill="1" applyBorder="1" applyAlignment="1">
      <alignment horizontal="center" vertical="center"/>
      <protection/>
    </xf>
    <xf numFmtId="0" fontId="84" fillId="34" borderId="10" xfId="62" applyFont="1" applyFill="1" applyBorder="1" applyAlignment="1">
      <alignment horizontal="center" vertical="center" wrapText="1"/>
      <protection/>
    </xf>
    <xf numFmtId="3" fontId="84" fillId="34" borderId="12" xfId="62" applyNumberFormat="1" applyFont="1" applyFill="1" applyBorder="1" applyAlignment="1">
      <alignment horizontal="center" vertical="center"/>
      <protection/>
    </xf>
    <xf numFmtId="3" fontId="85" fillId="34" borderId="12" xfId="62" applyNumberFormat="1" applyFont="1" applyFill="1" applyBorder="1" applyAlignment="1">
      <alignment horizontal="center" vertical="center"/>
      <protection/>
    </xf>
    <xf numFmtId="3" fontId="84" fillId="34" borderId="10" xfId="62" applyNumberFormat="1" applyFont="1" applyFill="1" applyBorder="1" applyAlignment="1">
      <alignment horizontal="center" vertical="center" wrapText="1"/>
      <protection/>
    </xf>
    <xf numFmtId="1" fontId="84" fillId="34" borderId="12" xfId="62" applyNumberFormat="1" applyFont="1" applyFill="1" applyBorder="1" applyAlignment="1">
      <alignment horizontal="center" vertical="center" wrapText="1"/>
      <protection/>
    </xf>
    <xf numFmtId="3" fontId="84" fillId="34" borderId="0" xfId="62" applyNumberFormat="1" applyFont="1" applyFill="1" applyBorder="1" applyAlignment="1">
      <alignment horizontal="center" vertical="center" wrapText="1"/>
      <protection/>
    </xf>
    <xf numFmtId="0" fontId="84" fillId="34" borderId="0" xfId="62" applyFont="1" applyFill="1" applyBorder="1" applyAlignment="1">
      <alignment/>
      <protection/>
    </xf>
    <xf numFmtId="172" fontId="85" fillId="0" borderId="10" xfId="65" applyNumberFormat="1" applyFont="1" applyFill="1" applyBorder="1" applyAlignment="1">
      <alignment horizontal="center" vertical="center" wrapText="1"/>
      <protection/>
    </xf>
    <xf numFmtId="0" fontId="84" fillId="34" borderId="10" xfId="62" applyFont="1" applyFill="1" applyBorder="1" applyAlignment="1">
      <alignment horizontal="left" vertical="center" wrapText="1"/>
      <protection/>
    </xf>
    <xf numFmtId="0" fontId="84" fillId="34" borderId="10" xfId="0" applyFont="1" applyFill="1" applyBorder="1" applyAlignment="1">
      <alignment horizontal="center" vertical="center" wrapText="1"/>
    </xf>
    <xf numFmtId="2" fontId="84" fillId="34" borderId="10" xfId="0" applyNumberFormat="1" applyFont="1" applyFill="1" applyBorder="1" applyAlignment="1">
      <alignment horizontal="center" vertical="center" wrapText="1"/>
    </xf>
    <xf numFmtId="3" fontId="84" fillId="34" borderId="10" xfId="41" applyNumberFormat="1" applyFont="1" applyFill="1" applyBorder="1" applyAlignment="1">
      <alignment horizontal="center" vertical="center"/>
    </xf>
    <xf numFmtId="9" fontId="84" fillId="34" borderId="10" xfId="68" applyFont="1" applyFill="1" applyBorder="1" applyAlignment="1">
      <alignment horizontal="center" vertical="center"/>
    </xf>
    <xf numFmtId="175" fontId="85" fillId="34" borderId="14" xfId="62" applyNumberFormat="1" applyFont="1" applyFill="1" applyBorder="1" applyAlignment="1">
      <alignment horizontal="center" vertical="center"/>
      <protection/>
    </xf>
    <xf numFmtId="173" fontId="84" fillId="34" borderId="10" xfId="62" applyNumberFormat="1" applyFont="1" applyFill="1" applyBorder="1" applyAlignment="1">
      <alignment horizontal="center" vertical="center" wrapText="1"/>
      <protection/>
    </xf>
    <xf numFmtId="3" fontId="85" fillId="34" borderId="10" xfId="41" applyNumberFormat="1" applyFont="1" applyFill="1" applyBorder="1" applyAlignment="1">
      <alignment horizontal="center" vertical="center"/>
    </xf>
    <xf numFmtId="2" fontId="84" fillId="34" borderId="10" xfId="0" applyNumberFormat="1" applyFont="1" applyFill="1" applyBorder="1" applyAlignment="1">
      <alignment horizontal="left" vertical="center"/>
    </xf>
    <xf numFmtId="3" fontId="102" fillId="34" borderId="10" xfId="0" applyNumberFormat="1" applyFont="1" applyFill="1" applyBorder="1" applyAlignment="1">
      <alignment horizontal="left" vertical="center" wrapText="1"/>
    </xf>
    <xf numFmtId="4" fontId="84" fillId="34" borderId="10" xfId="0" applyNumberFormat="1" applyFont="1" applyFill="1" applyBorder="1" applyAlignment="1">
      <alignment horizontal="center" vertical="center" wrapText="1"/>
    </xf>
    <xf numFmtId="0" fontId="97" fillId="34" borderId="10" xfId="41" applyNumberFormat="1" applyFont="1" applyFill="1" applyBorder="1" applyAlignment="1">
      <alignment horizontal="center" vertical="center"/>
    </xf>
    <xf numFmtId="172" fontId="85" fillId="34" borderId="10" xfId="0" applyNumberFormat="1" applyFont="1" applyFill="1" applyBorder="1" applyAlignment="1">
      <alignment horizontal="center" vertical="center" wrapText="1"/>
    </xf>
    <xf numFmtId="0" fontId="85" fillId="0" borderId="10" xfId="63" applyFont="1" applyFill="1" applyBorder="1" applyAlignment="1">
      <alignment horizontal="center" vertical="center" wrapText="1"/>
      <protection/>
    </xf>
    <xf numFmtId="4" fontId="95" fillId="34" borderId="10" xfId="0" applyNumberFormat="1" applyFont="1" applyFill="1" applyBorder="1" applyAlignment="1">
      <alignment horizontal="center" vertical="center" wrapText="1"/>
    </xf>
    <xf numFmtId="172" fontId="84" fillId="34" borderId="10" xfId="0" applyNumberFormat="1" applyFont="1" applyFill="1" applyBorder="1" applyAlignment="1">
      <alignment horizontal="center" vertical="center"/>
    </xf>
    <xf numFmtId="0" fontId="103" fillId="33" borderId="0" xfId="63" applyFont="1" applyFill="1" applyBorder="1">
      <alignment/>
      <protection/>
    </xf>
    <xf numFmtId="0" fontId="103" fillId="33" borderId="0" xfId="63" applyFont="1" applyFill="1">
      <alignment/>
      <protection/>
    </xf>
    <xf numFmtId="0" fontId="85" fillId="33" borderId="0" xfId="63" applyFont="1" applyFill="1" applyBorder="1" applyAlignment="1">
      <alignment horizontal="center" vertical="center" wrapText="1"/>
      <protection/>
    </xf>
    <xf numFmtId="0" fontId="85" fillId="33" borderId="0" xfId="63" applyFont="1" applyFill="1" applyAlignment="1">
      <alignment horizontal="center" vertical="center" wrapText="1"/>
      <protection/>
    </xf>
    <xf numFmtId="0" fontId="83" fillId="33" borderId="0" xfId="63" applyFont="1" applyFill="1" applyBorder="1" applyAlignment="1">
      <alignment horizontal="center" vertical="center" wrapText="1"/>
      <protection/>
    </xf>
    <xf numFmtId="0" fontId="83" fillId="33" borderId="0" xfId="63" applyFont="1" applyFill="1" applyAlignment="1">
      <alignment horizontal="center" vertical="center" wrapText="1"/>
      <protection/>
    </xf>
    <xf numFmtId="3" fontId="85" fillId="33" borderId="0" xfId="0" applyNumberFormat="1" applyFont="1" applyFill="1" applyBorder="1" applyAlignment="1">
      <alignment horizontal="center" vertical="center" wrapText="1"/>
    </xf>
    <xf numFmtId="3" fontId="85" fillId="33" borderId="10" xfId="0" applyNumberFormat="1" applyFont="1" applyFill="1" applyBorder="1" applyAlignment="1">
      <alignment horizontal="center" vertical="center" wrapText="1"/>
    </xf>
    <xf numFmtId="3" fontId="90" fillId="34" borderId="10" xfId="0" applyNumberFormat="1" applyFont="1" applyFill="1" applyBorder="1" applyAlignment="1">
      <alignment horizontal="left" vertical="center" wrapText="1"/>
    </xf>
    <xf numFmtId="0" fontId="104" fillId="33" borderId="0" xfId="63" applyFont="1" applyFill="1" applyBorder="1" applyAlignment="1">
      <alignment horizontal="center" vertical="center"/>
      <protection/>
    </xf>
    <xf numFmtId="0" fontId="93" fillId="0" borderId="0" xfId="63" applyFont="1" applyFill="1" applyBorder="1" applyAlignment="1">
      <alignment vertical="center"/>
      <protection/>
    </xf>
    <xf numFmtId="0" fontId="105" fillId="0" borderId="0" xfId="63" applyFont="1" applyFill="1" applyBorder="1" applyAlignment="1">
      <alignment vertical="center"/>
      <protection/>
    </xf>
    <xf numFmtId="0" fontId="93" fillId="0" borderId="0" xfId="63" applyFont="1" applyFill="1" applyBorder="1" applyAlignment="1">
      <alignment horizontal="center" vertical="center"/>
      <protection/>
    </xf>
    <xf numFmtId="175" fontId="84" fillId="0" borderId="0" xfId="41" applyNumberFormat="1" applyFont="1" applyFill="1" applyBorder="1" applyAlignment="1">
      <alignment horizontal="right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right" vertical="center" wrapText="1"/>
    </xf>
    <xf numFmtId="175" fontId="85" fillId="0" borderId="0" xfId="41" applyNumberFormat="1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93" fillId="33" borderId="0" xfId="63" applyFont="1" applyFill="1" applyBorder="1" applyAlignment="1">
      <alignment horizontal="center" vertical="center"/>
      <protection/>
    </xf>
    <xf numFmtId="0" fontId="99" fillId="0" borderId="0" xfId="0" applyFont="1" applyFill="1" applyBorder="1" applyAlignment="1">
      <alignment horizontal="right" vertical="center" wrapText="1"/>
    </xf>
    <xf numFmtId="0" fontId="104" fillId="33" borderId="10" xfId="63" applyFont="1" applyFill="1" applyBorder="1" applyAlignment="1">
      <alignment horizontal="center" vertical="center"/>
      <protection/>
    </xf>
    <xf numFmtId="0" fontId="93" fillId="0" borderId="10" xfId="63" applyFont="1" applyFill="1" applyBorder="1" applyAlignment="1">
      <alignment vertical="center"/>
      <protection/>
    </xf>
    <xf numFmtId="0" fontId="105" fillId="0" borderId="10" xfId="63" applyFont="1" applyFill="1" applyBorder="1" applyAlignment="1">
      <alignment vertical="center"/>
      <protection/>
    </xf>
    <xf numFmtId="0" fontId="93" fillId="0" borderId="10" xfId="63" applyFont="1" applyFill="1" applyBorder="1" applyAlignment="1">
      <alignment horizontal="center" vertical="center"/>
      <protection/>
    </xf>
    <xf numFmtId="0" fontId="97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right" vertical="center" wrapText="1"/>
    </xf>
    <xf numFmtId="175" fontId="85" fillId="0" borderId="10" xfId="41" applyNumberFormat="1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center" vertical="center" wrapText="1"/>
    </xf>
    <xf numFmtId="2" fontId="95" fillId="34" borderId="10" xfId="0" applyNumberFormat="1" applyFont="1" applyFill="1" applyBorder="1" applyAlignment="1">
      <alignment horizontal="left" vertical="center"/>
    </xf>
    <xf numFmtId="172" fontId="95" fillId="34" borderId="10" xfId="0" applyNumberFormat="1" applyFont="1" applyFill="1" applyBorder="1" applyAlignment="1">
      <alignment horizontal="center" vertical="center"/>
    </xf>
    <xf numFmtId="0" fontId="85" fillId="0" borderId="10" xfId="63" applyFont="1" applyFill="1" applyBorder="1" applyAlignment="1">
      <alignment horizontal="center" vertical="center" wrapText="1"/>
      <protection/>
    </xf>
    <xf numFmtId="0" fontId="96" fillId="34" borderId="10" xfId="41" applyNumberFormat="1" applyFont="1" applyFill="1" applyBorder="1" applyAlignment="1">
      <alignment horizontal="center" vertical="center"/>
    </xf>
    <xf numFmtId="2" fontId="95" fillId="34" borderId="10" xfId="0" applyNumberFormat="1" applyFont="1" applyFill="1" applyBorder="1" applyAlignment="1">
      <alignment horizontal="center" vertical="center" wrapText="1"/>
    </xf>
    <xf numFmtId="172" fontId="94" fillId="0" borderId="10" xfId="0" applyNumberFormat="1" applyFont="1" applyFill="1" applyBorder="1" applyAlignment="1">
      <alignment horizontal="center" vertical="center" wrapText="1"/>
    </xf>
    <xf numFmtId="3" fontId="94" fillId="34" borderId="10" xfId="0" applyNumberFormat="1" applyFont="1" applyFill="1" applyBorder="1" applyAlignment="1">
      <alignment horizontal="center" vertical="center" wrapText="1"/>
    </xf>
    <xf numFmtId="3" fontId="90" fillId="34" borderId="10" xfId="0" applyNumberFormat="1" applyFont="1" applyFill="1" applyBorder="1" applyAlignment="1">
      <alignment horizontal="center" vertical="center" wrapText="1"/>
    </xf>
    <xf numFmtId="172" fontId="94" fillId="34" borderId="15" xfId="0" applyNumberFormat="1" applyFont="1" applyFill="1" applyBorder="1" applyAlignment="1">
      <alignment horizontal="center" vertical="center" wrapText="1"/>
    </xf>
    <xf numFmtId="3" fontId="94" fillId="34" borderId="15" xfId="0" applyNumberFormat="1" applyFont="1" applyFill="1" applyBorder="1" applyAlignment="1">
      <alignment horizontal="center" vertical="center" wrapText="1"/>
    </xf>
    <xf numFmtId="3" fontId="84" fillId="0" borderId="10" xfId="65" applyNumberFormat="1" applyFont="1" applyFill="1" applyBorder="1" applyAlignment="1">
      <alignment horizontal="center" vertical="center" wrapText="1"/>
      <protection/>
    </xf>
    <xf numFmtId="0" fontId="85" fillId="0" borderId="10" xfId="65" applyFont="1" applyFill="1" applyBorder="1" applyAlignment="1">
      <alignment horizontal="center" vertical="center" wrapText="1"/>
      <protection/>
    </xf>
    <xf numFmtId="3" fontId="84" fillId="0" borderId="10" xfId="65" applyNumberFormat="1" applyFont="1" applyFill="1" applyBorder="1" applyAlignment="1">
      <alignment horizontal="center" vertical="center" wrapText="1"/>
      <protection/>
    </xf>
    <xf numFmtId="0" fontId="85" fillId="0" borderId="10" xfId="65" applyFont="1" applyFill="1" applyBorder="1" applyAlignment="1">
      <alignment horizontal="center" vertical="center" wrapText="1"/>
      <protection/>
    </xf>
    <xf numFmtId="3" fontId="85" fillId="0" borderId="14" xfId="0" applyNumberFormat="1" applyFont="1" applyFill="1" applyBorder="1" applyAlignment="1">
      <alignment horizontal="center" vertical="center" wrapText="1"/>
    </xf>
    <xf numFmtId="0" fontId="85" fillId="33" borderId="16" xfId="63" applyFont="1" applyFill="1" applyBorder="1" applyAlignment="1">
      <alignment horizontal="center" vertical="center" wrapText="1"/>
      <protection/>
    </xf>
    <xf numFmtId="0" fontId="85" fillId="33" borderId="14" xfId="63" applyFont="1" applyFill="1" applyBorder="1" applyAlignment="1">
      <alignment horizontal="center" vertical="center" wrapText="1"/>
      <protection/>
    </xf>
    <xf numFmtId="0" fontId="84" fillId="0" borderId="10" xfId="63" applyFont="1" applyFill="1" applyBorder="1" applyAlignment="1">
      <alignment horizontal="center" vertical="center" wrapText="1"/>
      <protection/>
    </xf>
    <xf numFmtId="3" fontId="85" fillId="0" borderId="13" xfId="0" applyNumberFormat="1" applyFont="1" applyFill="1" applyBorder="1" applyAlignment="1">
      <alignment vertical="center" wrapText="1"/>
    </xf>
    <xf numFmtId="3" fontId="85" fillId="0" borderId="10" xfId="0" applyNumberFormat="1" applyFont="1" applyFill="1" applyBorder="1" applyAlignment="1">
      <alignment vertical="center" wrapText="1"/>
    </xf>
    <xf numFmtId="179" fontId="84" fillId="34" borderId="10" xfId="0" applyNumberFormat="1" applyFont="1" applyFill="1" applyBorder="1" applyAlignment="1">
      <alignment horizontal="center" vertical="center" wrapText="1"/>
    </xf>
    <xf numFmtId="180" fontId="84" fillId="34" borderId="10" xfId="0" applyNumberFormat="1" applyFont="1" applyFill="1" applyBorder="1" applyAlignment="1">
      <alignment horizontal="center" vertical="center" wrapText="1"/>
    </xf>
    <xf numFmtId="180" fontId="95" fillId="34" borderId="10" xfId="0" applyNumberFormat="1" applyFont="1" applyFill="1" applyBorder="1" applyAlignment="1">
      <alignment horizontal="center" vertical="center" wrapText="1"/>
    </xf>
    <xf numFmtId="181" fontId="84" fillId="34" borderId="10" xfId="0" applyNumberFormat="1" applyFont="1" applyFill="1" applyBorder="1" applyAlignment="1">
      <alignment horizontal="center" vertical="center" wrapText="1"/>
    </xf>
    <xf numFmtId="3" fontId="84" fillId="34" borderId="10" xfId="0" applyNumberFormat="1" applyFont="1" applyFill="1" applyBorder="1" applyAlignment="1">
      <alignment horizontal="left" vertical="center" wrapText="1"/>
    </xf>
    <xf numFmtId="3" fontId="95" fillId="34" borderId="10" xfId="0" applyNumberFormat="1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26" fillId="0" borderId="10" xfId="65" applyFont="1" applyBorder="1" applyAlignment="1">
      <alignment horizontal="left" vertical="center" wrapText="1"/>
      <protection/>
    </xf>
    <xf numFmtId="0" fontId="2" fillId="0" borderId="12" xfId="65" applyFont="1" applyBorder="1" applyAlignment="1">
      <alignment horizontal="left" vertical="center" wrapText="1"/>
      <protection/>
    </xf>
    <xf numFmtId="0" fontId="2" fillId="0" borderId="17" xfId="65" applyFont="1" applyBorder="1" applyAlignment="1">
      <alignment horizontal="left" vertical="center" wrapText="1"/>
      <protection/>
    </xf>
    <xf numFmtId="0" fontId="2" fillId="0" borderId="13" xfId="65" applyFont="1" applyBorder="1" applyAlignment="1">
      <alignment horizontal="left" vertical="center" wrapText="1"/>
      <protection/>
    </xf>
    <xf numFmtId="0" fontId="84" fillId="0" borderId="0" xfId="59" applyFont="1" applyFill="1" applyBorder="1" applyAlignment="1">
      <alignment horizontal="center" vertical="center" wrapText="1"/>
      <protection/>
    </xf>
    <xf numFmtId="0" fontId="85" fillId="0" borderId="0" xfId="59" applyFont="1" applyFill="1" applyBorder="1" applyAlignment="1">
      <alignment horizontal="center" vertical="center" wrapText="1"/>
      <protection/>
    </xf>
    <xf numFmtId="0" fontId="91" fillId="0" borderId="0" xfId="59" applyFont="1" applyFill="1" applyBorder="1" applyAlignment="1">
      <alignment horizontal="center" vertical="center" wrapText="1"/>
      <protection/>
    </xf>
    <xf numFmtId="0" fontId="85" fillId="0" borderId="12" xfId="65" applyNumberFormat="1" applyFont="1" applyFill="1" applyBorder="1" applyAlignment="1">
      <alignment horizontal="left" vertical="center" wrapText="1"/>
      <protection/>
    </xf>
    <xf numFmtId="0" fontId="85" fillId="0" borderId="17" xfId="65" applyNumberFormat="1" applyFont="1" applyFill="1" applyBorder="1" applyAlignment="1">
      <alignment horizontal="left" vertical="center" wrapText="1"/>
      <protection/>
    </xf>
    <xf numFmtId="0" fontId="85" fillId="0" borderId="13" xfId="65" applyNumberFormat="1" applyFont="1" applyFill="1" applyBorder="1" applyAlignment="1">
      <alignment horizontal="left" vertical="center" wrapText="1"/>
      <protection/>
    </xf>
    <xf numFmtId="0" fontId="101" fillId="0" borderId="18" xfId="59" applyFont="1" applyFill="1" applyBorder="1" applyAlignment="1">
      <alignment horizontal="center" vertical="center" wrapText="1"/>
      <protection/>
    </xf>
    <xf numFmtId="0" fontId="101" fillId="0" borderId="19" xfId="59" applyFont="1" applyFill="1" applyBorder="1" applyAlignment="1">
      <alignment horizontal="center" vertical="top" wrapText="1"/>
      <protection/>
    </xf>
    <xf numFmtId="0" fontId="84" fillId="0" borderId="19" xfId="59" applyFont="1" applyFill="1" applyBorder="1" applyAlignment="1">
      <alignment horizontal="center" vertical="top" wrapText="1"/>
      <protection/>
    </xf>
    <xf numFmtId="1" fontId="85" fillId="0" borderId="12" xfId="59" applyNumberFormat="1" applyFont="1" applyFill="1" applyBorder="1" applyAlignment="1">
      <alignment horizontal="left" vertical="center" wrapText="1"/>
      <protection/>
    </xf>
    <xf numFmtId="1" fontId="85" fillId="0" borderId="13" xfId="59" applyNumberFormat="1" applyFont="1" applyFill="1" applyBorder="1" applyAlignment="1">
      <alignment horizontal="left" vertical="center" wrapText="1"/>
      <protection/>
    </xf>
    <xf numFmtId="0" fontId="85" fillId="0" borderId="10" xfId="59" applyFont="1" applyFill="1" applyBorder="1" applyAlignment="1">
      <alignment horizontal="left" vertical="center" wrapText="1"/>
      <protection/>
    </xf>
    <xf numFmtId="3" fontId="84" fillId="0" borderId="10" xfId="65" applyNumberFormat="1" applyFont="1" applyFill="1" applyBorder="1" applyAlignment="1">
      <alignment horizontal="center" vertical="center" wrapText="1"/>
      <protection/>
    </xf>
    <xf numFmtId="0" fontId="85" fillId="0" borderId="10" xfId="65" applyFont="1" applyFill="1" applyBorder="1" applyAlignment="1">
      <alignment horizontal="left" vertical="center" wrapText="1"/>
      <protection/>
    </xf>
    <xf numFmtId="1" fontId="84" fillId="34" borderId="20" xfId="0" applyNumberFormat="1" applyFont="1" applyFill="1" applyBorder="1" applyAlignment="1">
      <alignment horizontal="center" vertical="center"/>
    </xf>
    <xf numFmtId="1" fontId="84" fillId="34" borderId="15" xfId="0" applyNumberFormat="1" applyFont="1" applyFill="1" applyBorder="1" applyAlignment="1">
      <alignment horizontal="center" vertical="center"/>
    </xf>
    <xf numFmtId="1" fontId="84" fillId="34" borderId="14" xfId="0" applyNumberFormat="1" applyFont="1" applyFill="1" applyBorder="1" applyAlignment="1">
      <alignment horizontal="center" vertical="center"/>
    </xf>
    <xf numFmtId="1" fontId="84" fillId="0" borderId="20" xfId="0" applyNumberFormat="1" applyFont="1" applyFill="1" applyBorder="1" applyAlignment="1">
      <alignment horizontal="center" vertical="center"/>
    </xf>
    <xf numFmtId="1" fontId="84" fillId="0" borderId="15" xfId="0" applyNumberFormat="1" applyFont="1" applyFill="1" applyBorder="1" applyAlignment="1">
      <alignment horizontal="center" vertical="center"/>
    </xf>
    <xf numFmtId="1" fontId="84" fillId="0" borderId="14" xfId="0" applyNumberFormat="1" applyFont="1" applyFill="1" applyBorder="1" applyAlignment="1">
      <alignment horizontal="center" vertical="center"/>
    </xf>
    <xf numFmtId="3" fontId="85" fillId="0" borderId="12" xfId="0" applyNumberFormat="1" applyFont="1" applyFill="1" applyBorder="1" applyAlignment="1">
      <alignment horizontal="left" vertical="center" wrapText="1"/>
    </xf>
    <xf numFmtId="3" fontId="85" fillId="0" borderId="17" xfId="0" applyNumberFormat="1" applyFont="1" applyFill="1" applyBorder="1" applyAlignment="1">
      <alignment horizontal="left" vertical="center" wrapText="1"/>
    </xf>
    <xf numFmtId="1" fontId="95" fillId="34" borderId="20" xfId="0" applyNumberFormat="1" applyFont="1" applyFill="1" applyBorder="1" applyAlignment="1">
      <alignment horizontal="center" vertical="center"/>
    </xf>
    <xf numFmtId="1" fontId="95" fillId="34" borderId="15" xfId="0" applyNumberFormat="1" applyFont="1" applyFill="1" applyBorder="1" applyAlignment="1">
      <alignment horizontal="center" vertical="center"/>
    </xf>
    <xf numFmtId="1" fontId="95" fillId="34" borderId="14" xfId="0" applyNumberFormat="1" applyFont="1" applyFill="1" applyBorder="1" applyAlignment="1">
      <alignment horizontal="center" vertical="center"/>
    </xf>
    <xf numFmtId="172" fontId="85" fillId="34" borderId="20" xfId="0" applyNumberFormat="1" applyFont="1" applyFill="1" applyBorder="1" applyAlignment="1">
      <alignment horizontal="center" vertical="center" wrapText="1"/>
    </xf>
    <xf numFmtId="172" fontId="85" fillId="34" borderId="15" xfId="0" applyNumberFormat="1" applyFont="1" applyFill="1" applyBorder="1" applyAlignment="1">
      <alignment horizontal="center" vertical="center" wrapText="1"/>
    </xf>
    <xf numFmtId="172" fontId="85" fillId="34" borderId="14" xfId="0" applyNumberFormat="1" applyFont="1" applyFill="1" applyBorder="1" applyAlignment="1">
      <alignment horizontal="center" vertical="center" wrapText="1"/>
    </xf>
    <xf numFmtId="3" fontId="85" fillId="34" borderId="20" xfId="0" applyNumberFormat="1" applyFont="1" applyFill="1" applyBorder="1" applyAlignment="1">
      <alignment horizontal="center" vertical="center" wrapText="1"/>
    </xf>
    <xf numFmtId="3" fontId="85" fillId="34" borderId="15" xfId="0" applyNumberFormat="1" applyFont="1" applyFill="1" applyBorder="1" applyAlignment="1">
      <alignment horizontal="center" vertical="center" wrapText="1"/>
    </xf>
    <xf numFmtId="3" fontId="85" fillId="34" borderId="14" xfId="0" applyNumberFormat="1" applyFont="1" applyFill="1" applyBorder="1" applyAlignment="1">
      <alignment horizontal="center" vertical="center" wrapText="1"/>
    </xf>
    <xf numFmtId="0" fontId="99" fillId="34" borderId="0" xfId="63" applyFont="1" applyFill="1" applyBorder="1" applyAlignment="1">
      <alignment horizontal="center" vertical="center"/>
      <protection/>
    </xf>
    <xf numFmtId="0" fontId="99" fillId="33" borderId="11" xfId="63" applyFont="1" applyFill="1" applyBorder="1" applyAlignment="1">
      <alignment horizontal="center" vertical="center" wrapText="1"/>
      <protection/>
    </xf>
    <xf numFmtId="0" fontId="99" fillId="33" borderId="0" xfId="63" applyFont="1" applyFill="1" applyBorder="1" applyAlignment="1">
      <alignment horizontal="center" vertical="center" wrapText="1"/>
      <protection/>
    </xf>
    <xf numFmtId="0" fontId="99" fillId="33" borderId="21" xfId="63" applyFont="1" applyFill="1" applyBorder="1" applyAlignment="1">
      <alignment horizontal="center" vertical="center" wrapText="1"/>
      <protection/>
    </xf>
    <xf numFmtId="0" fontId="99" fillId="34" borderId="0" xfId="63" applyFont="1" applyFill="1" applyBorder="1" applyAlignment="1">
      <alignment horizontal="center" vertical="top"/>
      <protection/>
    </xf>
    <xf numFmtId="0" fontId="106" fillId="33" borderId="16" xfId="63" applyFont="1" applyFill="1" applyBorder="1" applyAlignment="1">
      <alignment horizontal="center" vertical="top"/>
      <protection/>
    </xf>
    <xf numFmtId="0" fontId="106" fillId="33" borderId="19" xfId="63" applyFont="1" applyFill="1" applyBorder="1" applyAlignment="1">
      <alignment horizontal="center" vertical="top"/>
      <protection/>
    </xf>
    <xf numFmtId="0" fontId="106" fillId="33" borderId="22" xfId="63" applyFont="1" applyFill="1" applyBorder="1" applyAlignment="1">
      <alignment horizontal="center" vertical="top"/>
      <protection/>
    </xf>
    <xf numFmtId="175" fontId="85" fillId="0" borderId="20" xfId="41" applyNumberFormat="1" applyFont="1" applyFill="1" applyBorder="1" applyAlignment="1">
      <alignment horizontal="center" vertical="center" wrapText="1"/>
    </xf>
    <xf numFmtId="175" fontId="85" fillId="0" borderId="15" xfId="41" applyNumberFormat="1" applyFont="1" applyFill="1" applyBorder="1" applyAlignment="1">
      <alignment horizontal="center" vertical="center" wrapText="1"/>
    </xf>
    <xf numFmtId="175" fontId="85" fillId="0" borderId="14" xfId="41" applyNumberFormat="1" applyFont="1" applyFill="1" applyBorder="1" applyAlignment="1">
      <alignment horizontal="center" vertical="center" wrapText="1"/>
    </xf>
    <xf numFmtId="3" fontId="85" fillId="0" borderId="20" xfId="0" applyNumberFormat="1" applyFont="1" applyFill="1" applyBorder="1" applyAlignment="1">
      <alignment horizontal="center" vertical="center" wrapText="1"/>
    </xf>
    <xf numFmtId="3" fontId="85" fillId="0" borderId="15" xfId="0" applyNumberFormat="1" applyFont="1" applyFill="1" applyBorder="1" applyAlignment="1">
      <alignment horizontal="center" vertical="center" wrapText="1"/>
    </xf>
    <xf numFmtId="3" fontId="85" fillId="0" borderId="14" xfId="0" applyNumberFormat="1" applyFont="1" applyFill="1" applyBorder="1" applyAlignment="1">
      <alignment horizontal="center" vertical="center" wrapText="1"/>
    </xf>
    <xf numFmtId="0" fontId="85" fillId="0" borderId="20" xfId="63" applyFont="1" applyFill="1" applyBorder="1" applyAlignment="1">
      <alignment horizontal="center" vertical="center" wrapText="1"/>
      <protection/>
    </xf>
    <xf numFmtId="0" fontId="85" fillId="0" borderId="15" xfId="63" applyFont="1" applyFill="1" applyBorder="1" applyAlignment="1">
      <alignment horizontal="center" vertical="center" wrapText="1"/>
      <protection/>
    </xf>
    <xf numFmtId="0" fontId="85" fillId="0" borderId="14" xfId="63" applyFont="1" applyFill="1" applyBorder="1" applyAlignment="1">
      <alignment horizontal="center" vertical="center" wrapText="1"/>
      <protection/>
    </xf>
    <xf numFmtId="175" fontId="85" fillId="0" borderId="23" xfId="41" applyNumberFormat="1" applyFont="1" applyFill="1" applyBorder="1" applyAlignment="1">
      <alignment horizontal="center" vertical="center" wrapText="1"/>
    </xf>
    <xf numFmtId="175" fontId="85" fillId="0" borderId="24" xfId="41" applyNumberFormat="1" applyFont="1" applyFill="1" applyBorder="1" applyAlignment="1">
      <alignment horizontal="center" vertical="center" wrapText="1"/>
    </xf>
    <xf numFmtId="175" fontId="85" fillId="0" borderId="16" xfId="41" applyNumberFormat="1" applyFont="1" applyFill="1" applyBorder="1" applyAlignment="1">
      <alignment horizontal="center" vertical="center" wrapText="1"/>
    </xf>
    <xf numFmtId="175" fontId="85" fillId="0" borderId="22" xfId="41" applyNumberFormat="1" applyFont="1" applyFill="1" applyBorder="1" applyAlignment="1">
      <alignment horizontal="center" vertical="center" wrapText="1"/>
    </xf>
    <xf numFmtId="0" fontId="106" fillId="34" borderId="0" xfId="63" applyFont="1" applyFill="1" applyBorder="1" applyAlignment="1">
      <alignment horizontal="center" vertical="top"/>
      <protection/>
    </xf>
    <xf numFmtId="0" fontId="85" fillId="0" borderId="23" xfId="63" applyFont="1" applyFill="1" applyBorder="1" applyAlignment="1">
      <alignment horizontal="center" vertical="center" wrapText="1"/>
      <protection/>
    </xf>
    <xf numFmtId="0" fontId="85" fillId="0" borderId="18" xfId="63" applyFont="1" applyFill="1" applyBorder="1" applyAlignment="1">
      <alignment horizontal="center" vertical="center" wrapText="1"/>
      <protection/>
    </xf>
    <xf numFmtId="0" fontId="85" fillId="0" borderId="24" xfId="63" applyFont="1" applyFill="1" applyBorder="1" applyAlignment="1">
      <alignment horizontal="center" vertical="center" wrapText="1"/>
      <protection/>
    </xf>
    <xf numFmtId="0" fontId="85" fillId="33" borderId="23" xfId="63" applyFont="1" applyFill="1" applyBorder="1" applyAlignment="1">
      <alignment horizontal="center" vertical="center" wrapText="1"/>
      <protection/>
    </xf>
    <xf numFmtId="0" fontId="85" fillId="33" borderId="11" xfId="63" applyFont="1" applyFill="1" applyBorder="1" applyAlignment="1">
      <alignment horizontal="center" vertical="center" wrapText="1"/>
      <protection/>
    </xf>
    <xf numFmtId="0" fontId="85" fillId="33" borderId="16" xfId="63" applyFont="1" applyFill="1" applyBorder="1" applyAlignment="1">
      <alignment horizontal="center" vertical="center" wrapText="1"/>
      <protection/>
    </xf>
    <xf numFmtId="0" fontId="85" fillId="33" borderId="20" xfId="63" applyFont="1" applyFill="1" applyBorder="1" applyAlignment="1">
      <alignment horizontal="center" vertical="center" wrapText="1"/>
      <protection/>
    </xf>
    <xf numFmtId="0" fontId="85" fillId="33" borderId="15" xfId="63" applyFont="1" applyFill="1" applyBorder="1" applyAlignment="1">
      <alignment horizontal="center" vertical="center" wrapText="1"/>
      <protection/>
    </xf>
    <xf numFmtId="0" fontId="85" fillId="33" borderId="14" xfId="63" applyFont="1" applyFill="1" applyBorder="1" applyAlignment="1">
      <alignment horizontal="center" vertical="center" wrapText="1"/>
      <protection/>
    </xf>
    <xf numFmtId="0" fontId="85" fillId="0" borderId="16" xfId="63" applyFont="1" applyFill="1" applyBorder="1" applyAlignment="1">
      <alignment horizontal="center" vertical="center" wrapText="1"/>
      <protection/>
    </xf>
    <xf numFmtId="0" fontId="85" fillId="0" borderId="19" xfId="63" applyFont="1" applyFill="1" applyBorder="1" applyAlignment="1">
      <alignment horizontal="center" vertical="center" wrapText="1"/>
      <protection/>
    </xf>
    <xf numFmtId="0" fontId="85" fillId="0" borderId="22" xfId="63" applyFont="1" applyFill="1" applyBorder="1" applyAlignment="1">
      <alignment horizontal="center" vertical="center" wrapText="1"/>
      <protection/>
    </xf>
    <xf numFmtId="0" fontId="99" fillId="0" borderId="0" xfId="0" applyFont="1" applyFill="1" applyBorder="1" applyAlignment="1">
      <alignment horizontal="center" vertical="center" wrapText="1"/>
    </xf>
    <xf numFmtId="172" fontId="85" fillId="0" borderId="23" xfId="0" applyNumberFormat="1" applyFont="1" applyFill="1" applyBorder="1" applyAlignment="1">
      <alignment horizontal="center" vertical="center" wrapText="1"/>
    </xf>
    <xf numFmtId="172" fontId="85" fillId="0" borderId="18" xfId="0" applyNumberFormat="1" applyFont="1" applyFill="1" applyBorder="1" applyAlignment="1">
      <alignment horizontal="center" vertical="center" wrapText="1"/>
    </xf>
    <xf numFmtId="172" fontId="85" fillId="0" borderId="24" xfId="0" applyNumberFormat="1" applyFont="1" applyFill="1" applyBorder="1" applyAlignment="1">
      <alignment horizontal="center" vertical="center" wrapText="1"/>
    </xf>
    <xf numFmtId="172" fontId="85" fillId="0" borderId="16" xfId="0" applyNumberFormat="1" applyFont="1" applyFill="1" applyBorder="1" applyAlignment="1">
      <alignment horizontal="center" vertical="center" wrapText="1"/>
    </xf>
    <xf numFmtId="172" fontId="85" fillId="0" borderId="19" xfId="0" applyNumberFormat="1" applyFont="1" applyFill="1" applyBorder="1" applyAlignment="1">
      <alignment horizontal="center" vertical="center" wrapText="1"/>
    </xf>
    <xf numFmtId="172" fontId="85" fillId="0" borderId="22" xfId="0" applyNumberFormat="1" applyFont="1" applyFill="1" applyBorder="1" applyAlignment="1">
      <alignment horizontal="center" vertical="center" wrapText="1"/>
    </xf>
    <xf numFmtId="0" fontId="85" fillId="0" borderId="12" xfId="63" applyFont="1" applyFill="1" applyBorder="1" applyAlignment="1">
      <alignment horizontal="center" vertical="center" wrapText="1"/>
      <protection/>
    </xf>
    <xf numFmtId="0" fontId="85" fillId="0" borderId="17" xfId="63" applyFont="1" applyFill="1" applyBorder="1" applyAlignment="1">
      <alignment horizontal="center" vertical="center" wrapText="1"/>
      <protection/>
    </xf>
    <xf numFmtId="3" fontId="85" fillId="0" borderId="13" xfId="0" applyNumberFormat="1" applyFont="1" applyFill="1" applyBorder="1" applyAlignment="1">
      <alignment horizontal="left" vertical="center" wrapText="1"/>
    </xf>
    <xf numFmtId="0" fontId="85" fillId="34" borderId="0" xfId="63" applyFont="1" applyFill="1" applyBorder="1" applyAlignment="1">
      <alignment horizontal="center" vertical="center"/>
      <protection/>
    </xf>
    <xf numFmtId="0" fontId="85" fillId="33" borderId="0" xfId="63" applyFont="1" applyFill="1" applyBorder="1" applyAlignment="1">
      <alignment horizontal="center" vertical="center" wrapText="1"/>
      <protection/>
    </xf>
    <xf numFmtId="0" fontId="85" fillId="33" borderId="21" xfId="63" applyFont="1" applyFill="1" applyBorder="1" applyAlignment="1">
      <alignment horizontal="center" vertical="center" wrapText="1"/>
      <protection/>
    </xf>
    <xf numFmtId="0" fontId="85" fillId="34" borderId="0" xfId="63" applyFont="1" applyFill="1" applyBorder="1" applyAlignment="1">
      <alignment horizontal="center" vertical="top"/>
      <protection/>
    </xf>
    <xf numFmtId="0" fontId="101" fillId="34" borderId="0" xfId="63" applyFont="1" applyFill="1" applyBorder="1" applyAlignment="1">
      <alignment horizontal="center" vertical="top"/>
      <protection/>
    </xf>
    <xf numFmtId="3" fontId="85" fillId="0" borderId="12" xfId="0" applyNumberFormat="1" applyFont="1" applyFill="1" applyBorder="1" applyAlignment="1">
      <alignment horizontal="center" vertical="center" wrapText="1"/>
    </xf>
    <xf numFmtId="3" fontId="85" fillId="0" borderId="17" xfId="0" applyNumberFormat="1" applyFont="1" applyFill="1" applyBorder="1" applyAlignment="1">
      <alignment horizontal="center" vertical="center" wrapText="1"/>
    </xf>
    <xf numFmtId="3" fontId="85" fillId="0" borderId="13" xfId="0" applyNumberFormat="1" applyFont="1" applyFill="1" applyBorder="1" applyAlignment="1">
      <alignment horizontal="center" vertical="center" wrapText="1"/>
    </xf>
    <xf numFmtId="0" fontId="107" fillId="34" borderId="0" xfId="63" applyFont="1" applyFill="1" applyBorder="1" applyAlignment="1">
      <alignment horizontal="center" vertical="top"/>
      <protection/>
    </xf>
    <xf numFmtId="172" fontId="85" fillId="0" borderId="20" xfId="0" applyNumberFormat="1" applyFont="1" applyFill="1" applyBorder="1" applyAlignment="1">
      <alignment horizontal="center" vertical="center" wrapText="1"/>
    </xf>
    <xf numFmtId="172" fontId="85" fillId="0" borderId="14" xfId="0" applyNumberFormat="1" applyFont="1" applyFill="1" applyBorder="1" applyAlignment="1">
      <alignment horizontal="center" vertical="center" wrapText="1"/>
    </xf>
    <xf numFmtId="0" fontId="8" fillId="34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33" borderId="11" xfId="63" applyFont="1" applyFill="1" applyBorder="1" applyAlignment="1">
      <alignment horizontal="center" vertical="center" wrapText="1"/>
      <protection/>
    </xf>
    <xf numFmtId="0" fontId="8" fillId="33" borderId="0" xfId="63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8" fillId="34" borderId="0" xfId="63" applyFont="1" applyFill="1" applyBorder="1" applyAlignment="1">
      <alignment horizontal="center" vertical="top"/>
      <protection/>
    </xf>
    <xf numFmtId="0" fontId="8" fillId="0" borderId="0" xfId="63" applyFont="1" applyFill="1" applyBorder="1" applyAlignment="1">
      <alignment horizontal="center" vertical="top"/>
      <protection/>
    </xf>
    <xf numFmtId="0" fontId="13" fillId="34" borderId="0" xfId="63" applyFont="1" applyFill="1" applyBorder="1" applyAlignment="1">
      <alignment horizontal="center" vertical="top"/>
      <protection/>
    </xf>
    <xf numFmtId="0" fontId="91" fillId="0" borderId="20" xfId="63" applyFont="1" applyFill="1" applyBorder="1" applyAlignment="1">
      <alignment horizontal="center" vertical="center" wrapText="1"/>
      <protection/>
    </xf>
    <xf numFmtId="0" fontId="91" fillId="0" borderId="15" xfId="63" applyFont="1" applyFill="1" applyBorder="1" applyAlignment="1">
      <alignment horizontal="center" vertical="center" wrapText="1"/>
      <protection/>
    </xf>
    <xf numFmtId="0" fontId="91" fillId="0" borderId="14" xfId="63" applyFont="1" applyFill="1" applyBorder="1" applyAlignment="1">
      <alignment horizontal="center" vertical="center" wrapText="1"/>
      <protection/>
    </xf>
    <xf numFmtId="0" fontId="99" fillId="34" borderId="0" xfId="62" applyFont="1" applyFill="1" applyBorder="1" applyAlignment="1">
      <alignment horizontal="center" vertical="center"/>
      <protection/>
    </xf>
    <xf numFmtId="2" fontId="99" fillId="34" borderId="0" xfId="62" applyNumberFormat="1" applyFont="1" applyFill="1" applyBorder="1" applyAlignment="1">
      <alignment horizontal="center" vertical="center"/>
      <protection/>
    </xf>
    <xf numFmtId="0" fontId="85" fillId="34" borderId="0" xfId="62" applyFont="1" applyFill="1" applyBorder="1" applyAlignment="1">
      <alignment horizontal="center"/>
      <protection/>
    </xf>
    <xf numFmtId="0" fontId="99" fillId="34" borderId="0" xfId="62" applyFont="1" applyFill="1" applyBorder="1" applyAlignment="1">
      <alignment horizontal="center"/>
      <protection/>
    </xf>
    <xf numFmtId="0" fontId="2" fillId="34" borderId="12" xfId="62" applyFont="1" applyFill="1" applyBorder="1" applyAlignment="1">
      <alignment horizontal="center" vertical="center"/>
      <protection/>
    </xf>
    <xf numFmtId="0" fontId="2" fillId="34" borderId="17" xfId="62" applyFont="1" applyFill="1" applyBorder="1" applyAlignment="1">
      <alignment horizontal="center" vertical="center"/>
      <protection/>
    </xf>
    <xf numFmtId="0" fontId="2" fillId="34" borderId="13" xfId="62" applyFont="1" applyFill="1" applyBorder="1" applyAlignment="1">
      <alignment horizontal="center" vertical="center"/>
      <protection/>
    </xf>
    <xf numFmtId="173" fontId="84" fillId="34" borderId="12" xfId="62" applyNumberFormat="1" applyFont="1" applyFill="1" applyBorder="1" applyAlignment="1">
      <alignment horizontal="center" vertical="center" wrapText="1"/>
      <protection/>
    </xf>
    <xf numFmtId="173" fontId="84" fillId="34" borderId="17" xfId="62" applyNumberFormat="1" applyFont="1" applyFill="1" applyBorder="1" applyAlignment="1">
      <alignment horizontal="center" vertical="center" wrapText="1"/>
      <protection/>
    </xf>
    <xf numFmtId="173" fontId="84" fillId="34" borderId="13" xfId="62" applyNumberFormat="1" applyFont="1" applyFill="1" applyBorder="1" applyAlignment="1">
      <alignment horizontal="center" vertical="center" wrapText="1"/>
      <protection/>
    </xf>
    <xf numFmtId="0" fontId="101" fillId="34" borderId="18" xfId="62" applyFont="1" applyFill="1" applyBorder="1" applyAlignment="1">
      <alignment horizontal="center"/>
      <protection/>
    </xf>
    <xf numFmtId="0" fontId="84" fillId="34" borderId="12" xfId="62" applyFont="1" applyFill="1" applyBorder="1" applyAlignment="1">
      <alignment horizontal="center" vertical="center"/>
      <protection/>
    </xf>
    <xf numFmtId="0" fontId="84" fillId="34" borderId="17" xfId="62" applyFont="1" applyFill="1" applyBorder="1" applyAlignment="1">
      <alignment horizontal="center" vertical="center"/>
      <protection/>
    </xf>
    <xf numFmtId="0" fontId="84" fillId="34" borderId="13" xfId="62" applyFont="1" applyFill="1" applyBorder="1" applyAlignment="1">
      <alignment horizontal="center" vertical="center"/>
      <protection/>
    </xf>
    <xf numFmtId="0" fontId="2" fillId="34" borderId="20" xfId="62" applyFont="1" applyFill="1" applyBorder="1" applyAlignment="1">
      <alignment horizontal="center" vertical="center" wrapText="1"/>
      <protection/>
    </xf>
    <xf numFmtId="0" fontId="2" fillId="34" borderId="15" xfId="62" applyFont="1" applyFill="1" applyBorder="1" applyAlignment="1">
      <alignment horizontal="center" vertical="center" wrapText="1"/>
      <protection/>
    </xf>
    <xf numFmtId="0" fontId="2" fillId="34" borderId="14" xfId="62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0" fontId="3" fillId="34" borderId="10" xfId="64" applyFont="1" applyFill="1" applyBorder="1" applyAlignment="1">
      <alignment horizontal="center"/>
      <protection/>
    </xf>
    <xf numFmtId="0" fontId="2" fillId="34" borderId="12" xfId="62" applyFont="1" applyFill="1" applyBorder="1" applyAlignment="1">
      <alignment horizontal="center" vertical="center" wrapText="1"/>
      <protection/>
    </xf>
    <xf numFmtId="0" fontId="2" fillId="34" borderId="17" xfId="62" applyFont="1" applyFill="1" applyBorder="1" applyAlignment="1">
      <alignment horizontal="center" vertical="center" wrapText="1"/>
      <protection/>
    </xf>
    <xf numFmtId="0" fontId="2" fillId="34" borderId="13" xfId="62" applyFont="1" applyFill="1" applyBorder="1" applyAlignment="1">
      <alignment horizontal="center" vertical="center" wrapText="1"/>
      <protection/>
    </xf>
    <xf numFmtId="2" fontId="2" fillId="34" borderId="10" xfId="62" applyNumberFormat="1" applyFont="1" applyFill="1" applyBorder="1" applyAlignment="1">
      <alignment horizontal="center" vertical="center" wrapText="1"/>
      <protection/>
    </xf>
    <xf numFmtId="3" fontId="2" fillId="34" borderId="10" xfId="62" applyNumberFormat="1" applyFont="1" applyFill="1" applyBorder="1" applyAlignment="1">
      <alignment horizontal="center" vertical="center" wrapText="1"/>
      <protection/>
    </xf>
    <xf numFmtId="0" fontId="8" fillId="34" borderId="0" xfId="62" applyFont="1" applyFill="1" applyBorder="1" applyAlignment="1">
      <alignment horizontal="center"/>
      <protection/>
    </xf>
    <xf numFmtId="0" fontId="8" fillId="34" borderId="0" xfId="62" applyFont="1" applyFill="1" applyBorder="1" applyAlignment="1">
      <alignment horizontal="center" vertical="top" wrapText="1"/>
      <protection/>
    </xf>
    <xf numFmtId="0" fontId="8" fillId="34" borderId="0" xfId="62" applyFont="1" applyFill="1" applyBorder="1" applyAlignment="1">
      <alignment horizontal="center" vertical="top"/>
      <protection/>
    </xf>
    <xf numFmtId="0" fontId="13" fillId="34" borderId="0" xfId="62" applyFont="1" applyFill="1" applyBorder="1" applyAlignment="1">
      <alignment horizontal="center" vertical="top"/>
      <protection/>
    </xf>
    <xf numFmtId="2" fontId="85" fillId="34" borderId="0" xfId="62" applyNumberFormat="1" applyFont="1" applyFill="1" applyBorder="1" applyAlignment="1">
      <alignment horizontal="center"/>
      <protection/>
    </xf>
    <xf numFmtId="0" fontId="85" fillId="34" borderId="12" xfId="62" applyFont="1" applyFill="1" applyBorder="1" applyAlignment="1">
      <alignment horizontal="center" vertical="center"/>
      <protection/>
    </xf>
    <xf numFmtId="0" fontId="85" fillId="34" borderId="17" xfId="62" applyFont="1" applyFill="1" applyBorder="1" applyAlignment="1">
      <alignment horizontal="center" vertical="center"/>
      <protection/>
    </xf>
    <xf numFmtId="0" fontId="85" fillId="34" borderId="13" xfId="62" applyFont="1" applyFill="1" applyBorder="1" applyAlignment="1">
      <alignment horizontal="center" vertical="center"/>
      <protection/>
    </xf>
    <xf numFmtId="0" fontId="85" fillId="34" borderId="12" xfId="62" applyFont="1" applyFill="1" applyBorder="1" applyAlignment="1">
      <alignment horizontal="center" vertical="center" wrapText="1"/>
      <protection/>
    </xf>
    <xf numFmtId="0" fontId="85" fillId="34" borderId="17" xfId="62" applyFont="1" applyFill="1" applyBorder="1" applyAlignment="1">
      <alignment horizontal="center" vertical="center" wrapText="1"/>
      <protection/>
    </xf>
    <xf numFmtId="0" fontId="85" fillId="34" borderId="20" xfId="62" applyFont="1" applyFill="1" applyBorder="1" applyAlignment="1">
      <alignment horizontal="center" vertical="center" wrapText="1"/>
      <protection/>
    </xf>
    <xf numFmtId="0" fontId="85" fillId="34" borderId="15" xfId="62" applyFont="1" applyFill="1" applyBorder="1" applyAlignment="1">
      <alignment horizontal="center" vertical="center" wrapText="1"/>
      <protection/>
    </xf>
    <xf numFmtId="0" fontId="85" fillId="34" borderId="14" xfId="62" applyFont="1" applyFill="1" applyBorder="1" applyAlignment="1">
      <alignment horizontal="center" vertical="center" wrapText="1"/>
      <protection/>
    </xf>
    <xf numFmtId="0" fontId="85" fillId="34" borderId="10" xfId="62" applyFont="1" applyFill="1" applyBorder="1" applyAlignment="1">
      <alignment horizontal="center" vertical="center" wrapText="1"/>
      <protection/>
    </xf>
    <xf numFmtId="0" fontId="99" fillId="34" borderId="0" xfId="62" applyFont="1" applyFill="1" applyBorder="1" applyAlignment="1">
      <alignment horizontal="center" vertical="top" wrapText="1"/>
      <protection/>
    </xf>
    <xf numFmtId="0" fontId="99" fillId="34" borderId="0" xfId="62" applyFont="1" applyFill="1" applyBorder="1" applyAlignment="1">
      <alignment horizontal="center" vertical="top"/>
      <protection/>
    </xf>
    <xf numFmtId="0" fontId="107" fillId="34" borderId="0" xfId="62" applyFont="1" applyFill="1" applyBorder="1" applyAlignment="1">
      <alignment horizontal="center" vertical="center"/>
      <protection/>
    </xf>
    <xf numFmtId="0" fontId="85" fillId="34" borderId="13" xfId="62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_Thôn Xuân  dang lam" xfId="61"/>
    <cellStyle name="Normal 3" xfId="62"/>
    <cellStyle name="Normal 4" xfId="63"/>
    <cellStyle name="Normal_PA dự thao mộ gui" xfId="64"/>
    <cellStyle name="Normal_PA trinh dat NN và mộ theo 86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.&#225;n%20M&#7897;%20-%20Khu&#244;n%20vi&#234;n%20-%20Ng&#242;%20(&#273;&#7907;t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.A mộ (đợt 2)"/>
      <sheetName val="Thưởng mộ (đợt 2) "/>
    </sheetNames>
    <sheetDataSet>
      <sheetData sheetId="0">
        <row r="1">
          <cell r="A1" t="str">
            <v>Loại tài sản (Theo Công văn 62/SXD-KT&amp;VLXD ngày 09/01/2023)</v>
          </cell>
          <cell r="B1" t="str">
            <v>Đơn giá BT mộ, khối lượng tài sản (đ)</v>
          </cell>
        </row>
        <row r="2">
          <cell r="A2" t="str">
            <v>Mộ đất đã cải táng</v>
          </cell>
          <cell r="B2">
            <v>1570000</v>
          </cell>
        </row>
        <row r="3">
          <cell r="A3" t="str">
            <v>Mộ đất: Mộ trẻ nhỏ ( Mới sinh đến 48 tháng)</v>
          </cell>
          <cell r="B3">
            <v>1600000</v>
          </cell>
        </row>
        <row r="4">
          <cell r="A4" t="str">
            <v>Mộ đã cải táng, mộ xây gạch, trát xung quanh vữa mác 25 đến 50, quét vôi ve xi măng, sơn , dưới 400 viên , DTCĐ  ≤ 1,5m2</v>
          </cell>
          <cell r="B4">
            <v>2730000</v>
          </cell>
        </row>
        <row r="5">
          <cell r="A5" t="str">
            <v>Mộ đã cải táng, mộ xây gạch, trát xung quanh ,vữa mác 25 đến 50, quét vôi ve xi măng, sơn, trên 400 viên , DTCĐ từ 1,5 m2  -:- 2m2</v>
          </cell>
          <cell r="B5">
            <v>3510000</v>
          </cell>
        </row>
        <row r="6">
          <cell r="A6" t="str">
            <v>Mộ đã cải táng, mộ xây gạch, trát xung quanh vữa mác 25 đến 50, quét vôi ve xi măng, sơn,trên 500 viên , DTCĐ từ  2m2  -:- 2,5m2</v>
          </cell>
          <cell r="B6">
            <v>3830000</v>
          </cell>
        </row>
        <row r="7">
          <cell r="A7" t="str">
            <v>Mộ đã cải táng, mộ xây gạch, trát xung quanh vữa mác 25 đến 50, quét vôi ve xi măng, sơn,trên 800 viên , DTCĐ từ  &gt;2,5m2</v>
          </cell>
          <cell r="B7">
            <v>5020000</v>
          </cell>
        </row>
        <row r="8">
          <cell r="A8" t="str">
            <v>Mộ đã cải táng, mộ xây gạch, ốp xung quanh bằng gạch men sứ các màu, vữa mác 50, dưới 400 viên , DTCĐ  ≤ 1,5m2</v>
          </cell>
          <cell r="B8">
            <v>4310000</v>
          </cell>
        </row>
        <row r="9">
          <cell r="A9" t="str">
            <v>Mộ đã cải táng, mộ xây gạch, ốp xung quanh bằng gạch men sứ các màu, vữa mác 50, trên 400 viên , DTCĐ từ 1,5 m2  -:- 2m2</v>
          </cell>
          <cell r="B9">
            <v>5170000</v>
          </cell>
        </row>
        <row r="10">
          <cell r="A10" t="str">
            <v>Mộ đã cải táng, mộ xây gạch, ốp xung quanh bằng gạch men sứ các màu, vữa mác 50,trên 500 viên , DTCĐ từ  2m2  -:- 2,5m2</v>
          </cell>
          <cell r="B10">
            <v>6160000</v>
          </cell>
        </row>
        <row r="11">
          <cell r="A11" t="str">
            <v>Mộ đã cải táng, mộ xây gạch, ốp xung quanh bằng gạch men sứ các màu, vữa mác 50 ,trên 800 viên , DTCĐ từ  &gt;2,5m2</v>
          </cell>
          <cell r="B11">
            <v>7390000</v>
          </cell>
        </row>
        <row r="12">
          <cell r="A12" t="str">
            <v>Mộ chưa cải táng (mộ dài)</v>
          </cell>
          <cell r="B12">
            <v>8600000</v>
          </cell>
        </row>
        <row r="14">
          <cell r="A14" t="str">
            <v>1.  Chi phí đào, bốc: </v>
          </cell>
        </row>
        <row r="15">
          <cell r="A15" t="str">
            <v> Mộ chưa cải táng (mộ dài)       </v>
          </cell>
          <cell r="B15">
            <v>5000000</v>
          </cell>
        </row>
        <row r="16">
          <cell r="A16" t="str">
            <v> Mộ đã cải táng                              </v>
          </cell>
          <cell r="B16">
            <v>2000000</v>
          </cell>
        </row>
        <row r="17">
          <cell r="A17" t="str">
            <v>2. Chi phí di chuyển:                           đồng/mộ</v>
          </cell>
          <cell r="B17">
            <v>2000000</v>
          </cell>
        </row>
        <row r="18">
          <cell r="A18" t="str">
            <v>3. Chi phí cho việc bố trí đất đai, đầu tư xây dựng hạ tầng để đặt mộ </v>
          </cell>
          <cell r="B18">
            <v>2000000</v>
          </cell>
        </row>
        <row r="19">
          <cell r="A19" t="str">
            <v>4. Các khoản chi phí hợp lý khác</v>
          </cell>
        </row>
        <row r="20">
          <cell r="A20" t="str">
            <v>a) Mộ vô chủ:                                                     đồng/mộ</v>
          </cell>
          <cell r="B20">
            <v>500000</v>
          </cell>
        </row>
        <row r="21">
          <cell r="A21" t="str">
            <v>b) Các trường hợp khác:                                đồng/mộ</v>
          </cell>
          <cell r="B21">
            <v>1500000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8" sqref="F8"/>
    </sheetView>
  </sheetViews>
  <sheetFormatPr defaultColWidth="9.00390625" defaultRowHeight="32.25" customHeight="1"/>
  <cols>
    <col min="1" max="1" width="6.7109375" style="3" customWidth="1"/>
    <col min="2" max="2" width="59.28125" style="46" customWidth="1"/>
    <col min="3" max="3" width="12.28125" style="45" customWidth="1"/>
    <col min="4" max="4" width="9.28125" style="3" customWidth="1"/>
    <col min="5" max="5" width="15.00390625" style="47" customWidth="1"/>
    <col min="6" max="6" width="18.421875" style="48" customWidth="1"/>
    <col min="7" max="7" width="11.421875" style="3" customWidth="1"/>
    <col min="8" max="8" width="19.8515625" style="3" customWidth="1"/>
    <col min="9" max="9" width="16.57421875" style="3" customWidth="1"/>
    <col min="10" max="16384" width="9.00390625" style="3" customWidth="1"/>
  </cols>
  <sheetData>
    <row r="1" spans="1:7" ht="60" customHeight="1">
      <c r="A1" s="253" t="s">
        <v>357</v>
      </c>
      <c r="B1" s="253"/>
      <c r="C1" s="253"/>
      <c r="D1" s="253"/>
      <c r="E1" s="253"/>
      <c r="F1" s="253"/>
      <c r="G1" s="253"/>
    </row>
    <row r="2" spans="1:7" ht="29.25" customHeight="1">
      <c r="A2" s="258" t="s">
        <v>358</v>
      </c>
      <c r="B2" s="259"/>
      <c r="C2" s="259"/>
      <c r="D2" s="259"/>
      <c r="E2" s="259"/>
      <c r="F2" s="259"/>
      <c r="G2" s="259"/>
    </row>
    <row r="3" spans="1:7" s="8" customFormat="1" ht="26.25" customHeight="1">
      <c r="A3" s="55" t="s">
        <v>7</v>
      </c>
      <c r="B3" s="4" t="s">
        <v>8</v>
      </c>
      <c r="C3" s="5" t="s">
        <v>3</v>
      </c>
      <c r="D3" s="4" t="s">
        <v>4</v>
      </c>
      <c r="E3" s="6" t="s">
        <v>9</v>
      </c>
      <c r="F3" s="5" t="s">
        <v>10</v>
      </c>
      <c r="G3" s="7" t="s">
        <v>0</v>
      </c>
    </row>
    <row r="4" spans="1:7" s="10" customFormat="1" ht="21.75" customHeight="1">
      <c r="A4" s="9">
        <v>0</v>
      </c>
      <c r="B4" s="9">
        <v>1</v>
      </c>
      <c r="C4" s="9">
        <v>2</v>
      </c>
      <c r="D4" s="9">
        <v>3</v>
      </c>
      <c r="E4" s="9">
        <v>4</v>
      </c>
      <c r="F4" s="9" t="s">
        <v>22</v>
      </c>
      <c r="G4" s="9">
        <v>6</v>
      </c>
    </row>
    <row r="5" spans="1:7" s="10" customFormat="1" ht="30.75" customHeight="1">
      <c r="A5" s="260" t="s">
        <v>37</v>
      </c>
      <c r="B5" s="261"/>
      <c r="C5" s="11"/>
      <c r="D5" s="11"/>
      <c r="E5" s="12"/>
      <c r="F5" s="13">
        <f>F7+F6</f>
        <v>2629605000.4</v>
      </c>
      <c r="G5" s="9"/>
    </row>
    <row r="6" spans="1:8" s="18" customFormat="1" ht="31.5" customHeight="1">
      <c r="A6" s="262" t="s">
        <v>48</v>
      </c>
      <c r="B6" s="262"/>
      <c r="C6" s="263">
        <f>F7</f>
        <v>2578044816.4</v>
      </c>
      <c r="D6" s="263"/>
      <c r="E6" s="14">
        <v>0.02</v>
      </c>
      <c r="F6" s="22">
        <v>51560184</v>
      </c>
      <c r="G6" s="16" t="s">
        <v>24</v>
      </c>
      <c r="H6" s="17">
        <f>C6*E6</f>
        <v>51560896.328</v>
      </c>
    </row>
    <row r="7" spans="1:8" s="18" customFormat="1" ht="31.5" customHeight="1">
      <c r="A7" s="264" t="s">
        <v>34</v>
      </c>
      <c r="B7" s="264"/>
      <c r="C7" s="19"/>
      <c r="D7" s="20"/>
      <c r="E7" s="21"/>
      <c r="F7" s="22">
        <f>F8+F24</f>
        <v>2578044816.4</v>
      </c>
      <c r="G7" s="23"/>
      <c r="H7" s="24"/>
    </row>
    <row r="8" spans="1:8" s="30" customFormat="1" ht="31.5" customHeight="1">
      <c r="A8" s="53" t="s">
        <v>25</v>
      </c>
      <c r="B8" s="25" t="s">
        <v>310</v>
      </c>
      <c r="C8" s="26"/>
      <c r="D8" s="27"/>
      <c r="E8" s="27"/>
      <c r="F8" s="28">
        <f>F9+F12+F13+F21</f>
        <v>2561714816.4</v>
      </c>
      <c r="G8" s="29"/>
      <c r="H8" s="17">
        <f>'P.án đ3'!Z10</f>
        <v>2360790816.4</v>
      </c>
    </row>
    <row r="9" spans="1:9" s="36" customFormat="1" ht="31.5" customHeight="1">
      <c r="A9" s="54" t="s">
        <v>31</v>
      </c>
      <c r="B9" s="32" t="s">
        <v>11</v>
      </c>
      <c r="C9" s="171">
        <f>C10+C11</f>
        <v>5682.400000000001</v>
      </c>
      <c r="D9" s="33"/>
      <c r="E9" s="11"/>
      <c r="F9" s="22">
        <f>F10+F11</f>
        <v>313409500.00000006</v>
      </c>
      <c r="G9" s="31"/>
      <c r="H9" s="34"/>
      <c r="I9" s="35"/>
    </row>
    <row r="10" spans="1:7" s="18" customFormat="1" ht="37.5" customHeight="1">
      <c r="A10" s="37" t="s">
        <v>32</v>
      </c>
      <c r="B10" s="38" t="s">
        <v>344</v>
      </c>
      <c r="C10" s="39">
        <f>'P.án đ3'!I10</f>
        <v>175.5</v>
      </c>
      <c r="D10" s="20" t="s">
        <v>27</v>
      </c>
      <c r="E10" s="21">
        <v>60000</v>
      </c>
      <c r="F10" s="40">
        <f>C10*E10</f>
        <v>10530000</v>
      </c>
      <c r="G10" s="37"/>
    </row>
    <row r="11" spans="1:7" s="18" customFormat="1" ht="36" customHeight="1">
      <c r="A11" s="37" t="s">
        <v>33</v>
      </c>
      <c r="B11" s="38" t="s">
        <v>345</v>
      </c>
      <c r="C11" s="39">
        <f>'P.án đ3'!J10+'P.án đ3'!K10</f>
        <v>5506.900000000001</v>
      </c>
      <c r="D11" s="20" t="s">
        <v>27</v>
      </c>
      <c r="E11" s="21">
        <v>55000</v>
      </c>
      <c r="F11" s="40">
        <f>C11*E11</f>
        <v>302879500.00000006</v>
      </c>
      <c r="G11" s="37"/>
    </row>
    <row r="12" spans="1:8" s="36" customFormat="1" ht="68.25" customHeight="1">
      <c r="A12" s="231" t="s">
        <v>35</v>
      </c>
      <c r="B12" s="254" t="s">
        <v>94</v>
      </c>
      <c r="C12" s="255"/>
      <c r="D12" s="255"/>
      <c r="E12" s="256"/>
      <c r="F12" s="22">
        <f>'P.án đ3'!U10</f>
        <v>1045849516.4</v>
      </c>
      <c r="G12" s="15"/>
      <c r="H12" s="41"/>
    </row>
    <row r="13" spans="1:7" s="36" customFormat="1" ht="31.5" customHeight="1">
      <c r="A13" s="231" t="s">
        <v>36</v>
      </c>
      <c r="B13" s="32" t="s">
        <v>309</v>
      </c>
      <c r="C13" s="42"/>
      <c r="D13" s="33"/>
      <c r="E13" s="11"/>
      <c r="F13" s="22">
        <f>F14+F17+F20</f>
        <v>1001531800.0000001</v>
      </c>
      <c r="G13" s="31"/>
    </row>
    <row r="14" spans="1:7" s="36" customFormat="1" ht="31.5" customHeight="1">
      <c r="A14" s="231" t="s">
        <v>302</v>
      </c>
      <c r="B14" s="32" t="s">
        <v>96</v>
      </c>
      <c r="C14" s="42"/>
      <c r="D14" s="95"/>
      <c r="E14" s="11"/>
      <c r="F14" s="22">
        <f>F15+F16</f>
        <v>40303300.00000001</v>
      </c>
      <c r="G14" s="97"/>
    </row>
    <row r="15" spans="1:8" s="18" customFormat="1" ht="34.5" customHeight="1">
      <c r="A15" s="37" t="s">
        <v>303</v>
      </c>
      <c r="B15" s="38" t="s">
        <v>342</v>
      </c>
      <c r="C15" s="39">
        <f>C10</f>
        <v>175.5</v>
      </c>
      <c r="D15" s="20" t="s">
        <v>27</v>
      </c>
      <c r="E15" s="21">
        <v>10000</v>
      </c>
      <c r="F15" s="40">
        <f aca="true" t="shared" si="0" ref="F15:F20">C15*E15</f>
        <v>1755000</v>
      </c>
      <c r="G15" s="23"/>
      <c r="H15" s="24"/>
    </row>
    <row r="16" spans="1:8" s="18" customFormat="1" ht="34.5" customHeight="1">
      <c r="A16" s="37" t="s">
        <v>304</v>
      </c>
      <c r="B16" s="38" t="s">
        <v>356</v>
      </c>
      <c r="C16" s="39">
        <f>C11</f>
        <v>5506.900000000001</v>
      </c>
      <c r="D16" s="20" t="s">
        <v>27</v>
      </c>
      <c r="E16" s="21">
        <v>7000</v>
      </c>
      <c r="F16" s="40">
        <f t="shared" si="0"/>
        <v>38548300.00000001</v>
      </c>
      <c r="G16" s="52"/>
      <c r="H16" s="24"/>
    </row>
    <row r="17" spans="1:8" s="18" customFormat="1" ht="27.75" customHeight="1">
      <c r="A17" s="231" t="s">
        <v>305</v>
      </c>
      <c r="B17" s="32" t="s">
        <v>95</v>
      </c>
      <c r="C17" s="39"/>
      <c r="D17" s="20"/>
      <c r="E17" s="21"/>
      <c r="F17" s="22">
        <f>F18+F19</f>
        <v>940228500.0000001</v>
      </c>
      <c r="G17" s="96"/>
      <c r="H17" s="24"/>
    </row>
    <row r="18" spans="1:8" s="18" customFormat="1" ht="36" customHeight="1">
      <c r="A18" s="37" t="s">
        <v>306</v>
      </c>
      <c r="B18" s="38" t="s">
        <v>342</v>
      </c>
      <c r="C18" s="39">
        <f>C15</f>
        <v>175.5</v>
      </c>
      <c r="D18" s="20" t="s">
        <v>27</v>
      </c>
      <c r="E18" s="21">
        <v>180000</v>
      </c>
      <c r="F18" s="40">
        <f>C18*E18</f>
        <v>31590000</v>
      </c>
      <c r="G18" s="23"/>
      <c r="H18" s="24"/>
    </row>
    <row r="19" spans="1:8" s="18" customFormat="1" ht="36" customHeight="1">
      <c r="A19" s="37" t="s">
        <v>307</v>
      </c>
      <c r="B19" s="38" t="s">
        <v>343</v>
      </c>
      <c r="C19" s="39">
        <f>C11</f>
        <v>5506.900000000001</v>
      </c>
      <c r="D19" s="20" t="s">
        <v>27</v>
      </c>
      <c r="E19" s="21">
        <v>165000</v>
      </c>
      <c r="F19" s="40">
        <f t="shared" si="0"/>
        <v>908638500.0000001</v>
      </c>
      <c r="G19" s="52"/>
      <c r="H19" s="24"/>
    </row>
    <row r="20" spans="1:8" s="36" customFormat="1" ht="33.75" customHeight="1">
      <c r="A20" s="233" t="s">
        <v>308</v>
      </c>
      <c r="B20" s="32" t="s">
        <v>346</v>
      </c>
      <c r="C20" s="96">
        <f>'P.án đ3'!X10</f>
        <v>6</v>
      </c>
      <c r="D20" s="20" t="s">
        <v>43</v>
      </c>
      <c r="E20" s="21">
        <v>3500000</v>
      </c>
      <c r="F20" s="22">
        <f t="shared" si="0"/>
        <v>21000000</v>
      </c>
      <c r="G20" s="15"/>
      <c r="H20" s="41"/>
    </row>
    <row r="21" spans="1:8" s="18" customFormat="1" ht="42.75" customHeight="1">
      <c r="A21" s="231" t="s">
        <v>45</v>
      </c>
      <c r="B21" s="248" t="s">
        <v>355</v>
      </c>
      <c r="C21" s="249"/>
      <c r="D21" s="249"/>
      <c r="E21" s="250"/>
      <c r="F21" s="22">
        <f>F22+F23</f>
        <v>200924000</v>
      </c>
      <c r="G21" s="23"/>
      <c r="H21" s="24"/>
    </row>
    <row r="22" spans="1:8" s="18" customFormat="1" ht="48.75" customHeight="1">
      <c r="A22" s="37" t="s">
        <v>46</v>
      </c>
      <c r="B22" s="247" t="s">
        <v>349</v>
      </c>
      <c r="C22" s="39">
        <v>4363.8</v>
      </c>
      <c r="D22" s="20" t="s">
        <v>27</v>
      </c>
      <c r="E22" s="21">
        <v>40000</v>
      </c>
      <c r="F22" s="40">
        <f>C22*E22</f>
        <v>174552000</v>
      </c>
      <c r="G22" s="23"/>
      <c r="H22" s="24"/>
    </row>
    <row r="23" spans="1:8" s="18" customFormat="1" ht="40.5" customHeight="1">
      <c r="A23" s="37" t="s">
        <v>47</v>
      </c>
      <c r="B23" s="247" t="s">
        <v>350</v>
      </c>
      <c r="C23" s="39">
        <v>1318.6</v>
      </c>
      <c r="D23" s="20" t="s">
        <v>27</v>
      </c>
      <c r="E23" s="21">
        <v>20000</v>
      </c>
      <c r="F23" s="40">
        <f>C23*E23</f>
        <v>26372000</v>
      </c>
      <c r="G23" s="230"/>
      <c r="H23" s="24"/>
    </row>
    <row r="24" spans="1:8" s="36" customFormat="1" ht="33" customHeight="1">
      <c r="A24" s="94" t="s">
        <v>26</v>
      </c>
      <c r="B24" s="25" t="s">
        <v>93</v>
      </c>
      <c r="C24" s="171"/>
      <c r="D24" s="92"/>
      <c r="E24" s="11"/>
      <c r="F24" s="22">
        <f>SUM(F25:F30)</f>
        <v>16330000</v>
      </c>
      <c r="G24" s="15"/>
      <c r="H24" s="41"/>
    </row>
    <row r="25" spans="1:8" s="18" customFormat="1" ht="42" customHeight="1">
      <c r="A25" s="37" t="s">
        <v>31</v>
      </c>
      <c r="B25" s="246" t="s">
        <v>354</v>
      </c>
      <c r="C25" s="96">
        <v>1</v>
      </c>
      <c r="D25" s="20" t="s">
        <v>91</v>
      </c>
      <c r="E25" s="96">
        <v>3830000</v>
      </c>
      <c r="F25" s="40">
        <f aca="true" t="shared" si="1" ref="F25:F30">C25*E25</f>
        <v>3830000</v>
      </c>
      <c r="G25" s="93"/>
      <c r="H25" s="24"/>
    </row>
    <row r="26" spans="1:8" s="18" customFormat="1" ht="37.5" customHeight="1">
      <c r="A26" s="37" t="s">
        <v>35</v>
      </c>
      <c r="B26" s="43" t="s">
        <v>347</v>
      </c>
      <c r="C26" s="96">
        <v>1</v>
      </c>
      <c r="D26" s="20" t="s">
        <v>91</v>
      </c>
      <c r="E26" s="96">
        <v>2000000</v>
      </c>
      <c r="F26" s="40">
        <f t="shared" si="1"/>
        <v>2000000</v>
      </c>
      <c r="G26" s="96"/>
      <c r="H26" s="24"/>
    </row>
    <row r="27" spans="1:8" s="18" customFormat="1" ht="37.5" customHeight="1">
      <c r="A27" s="37" t="s">
        <v>36</v>
      </c>
      <c r="B27" s="43" t="s">
        <v>348</v>
      </c>
      <c r="C27" s="232">
        <v>1</v>
      </c>
      <c r="D27" s="20" t="s">
        <v>91</v>
      </c>
      <c r="E27" s="232">
        <v>2000000</v>
      </c>
      <c r="F27" s="40">
        <f t="shared" si="1"/>
        <v>2000000</v>
      </c>
      <c r="G27" s="96"/>
      <c r="H27" s="24"/>
    </row>
    <row r="28" spans="1:8" s="36" customFormat="1" ht="37.5" customHeight="1">
      <c r="A28" s="37" t="s">
        <v>45</v>
      </c>
      <c r="B28" s="247" t="s">
        <v>352</v>
      </c>
      <c r="C28" s="232">
        <v>1</v>
      </c>
      <c r="D28" s="20" t="s">
        <v>91</v>
      </c>
      <c r="E28" s="232">
        <v>1500000</v>
      </c>
      <c r="F28" s="40">
        <f t="shared" si="1"/>
        <v>1500000</v>
      </c>
      <c r="G28" s="15"/>
      <c r="H28" s="41"/>
    </row>
    <row r="29" spans="1:8" s="18" customFormat="1" ht="37.5" customHeight="1">
      <c r="A29" s="37" t="s">
        <v>90</v>
      </c>
      <c r="B29" s="247" t="s">
        <v>353</v>
      </c>
      <c r="C29" s="232">
        <v>1</v>
      </c>
      <c r="D29" s="20" t="s">
        <v>91</v>
      </c>
      <c r="E29" s="232">
        <v>2000000</v>
      </c>
      <c r="F29" s="40">
        <f t="shared" si="1"/>
        <v>2000000</v>
      </c>
      <c r="G29" s="96"/>
      <c r="H29" s="24"/>
    </row>
    <row r="30" spans="1:8" s="18" customFormat="1" ht="39" customHeight="1">
      <c r="A30" s="37" t="s">
        <v>92</v>
      </c>
      <c r="B30" s="247" t="s">
        <v>351</v>
      </c>
      <c r="C30" s="232">
        <v>1</v>
      </c>
      <c r="D30" s="20" t="s">
        <v>91</v>
      </c>
      <c r="E30" s="232">
        <v>5000000</v>
      </c>
      <c r="F30" s="40">
        <f t="shared" si="1"/>
        <v>5000000</v>
      </c>
      <c r="G30" s="96"/>
      <c r="H30" s="24"/>
    </row>
    <row r="31" spans="1:7" s="30" customFormat="1" ht="9.75" customHeight="1">
      <c r="A31" s="257"/>
      <c r="B31" s="257"/>
      <c r="C31" s="257"/>
      <c r="D31" s="257"/>
      <c r="E31" s="257"/>
      <c r="F31" s="257"/>
      <c r="G31" s="257"/>
    </row>
    <row r="32" spans="1:7" s="44" customFormat="1" ht="16.5" customHeight="1">
      <c r="A32" s="253"/>
      <c r="B32" s="253"/>
      <c r="C32" s="253" t="s">
        <v>282</v>
      </c>
      <c r="D32" s="253"/>
      <c r="E32" s="253"/>
      <c r="F32" s="253"/>
      <c r="G32" s="253"/>
    </row>
    <row r="33" spans="1:7" ht="20.25" customHeight="1">
      <c r="A33" s="251"/>
      <c r="B33" s="251"/>
      <c r="D33" s="251"/>
      <c r="E33" s="251"/>
      <c r="F33" s="251"/>
      <c r="G33" s="251"/>
    </row>
    <row r="34" spans="1:7" ht="18.75" customHeight="1">
      <c r="A34" s="251"/>
      <c r="B34" s="251"/>
      <c r="D34" s="251"/>
      <c r="E34" s="251"/>
      <c r="F34" s="251"/>
      <c r="G34" s="251"/>
    </row>
    <row r="35" spans="1:7" ht="28.5" customHeight="1">
      <c r="A35" s="251"/>
      <c r="B35" s="251"/>
      <c r="D35" s="251"/>
      <c r="E35" s="251"/>
      <c r="F35" s="251"/>
      <c r="G35" s="251"/>
    </row>
    <row r="36" spans="1:7" s="8" customFormat="1" ht="24" customHeight="1">
      <c r="A36" s="252"/>
      <c r="B36" s="252"/>
      <c r="C36" s="252" t="s">
        <v>283</v>
      </c>
      <c r="D36" s="252"/>
      <c r="E36" s="252"/>
      <c r="F36" s="252"/>
      <c r="G36" s="252"/>
    </row>
  </sheetData>
  <sheetProtection/>
  <mergeCells count="19">
    <mergeCell ref="D34:G34"/>
    <mergeCell ref="B12:E12"/>
    <mergeCell ref="A31:G31"/>
    <mergeCell ref="A1:G1"/>
    <mergeCell ref="A2:G2"/>
    <mergeCell ref="A5:B5"/>
    <mergeCell ref="A6:B6"/>
    <mergeCell ref="C6:D6"/>
    <mergeCell ref="A7:B7"/>
    <mergeCell ref="B21:E21"/>
    <mergeCell ref="A35:B35"/>
    <mergeCell ref="D35:G35"/>
    <mergeCell ref="A36:B36"/>
    <mergeCell ref="C36:G36"/>
    <mergeCell ref="A32:B32"/>
    <mergeCell ref="C32:G32"/>
    <mergeCell ref="A33:B33"/>
    <mergeCell ref="D33:G33"/>
    <mergeCell ref="A34:B34"/>
  </mergeCells>
  <printOptions/>
  <pageMargins left="0.93" right="0.31496062992126" top="0.551181102362205" bottom="0.551181102362205" header="0.118110236220472" footer="0.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N224"/>
  <sheetViews>
    <sheetView zoomScale="70" zoomScaleNormal="70" zoomScalePageLayoutView="0" workbookViewId="0" topLeftCell="R1">
      <selection activeCell="W81" sqref="W81"/>
    </sheetView>
  </sheetViews>
  <sheetFormatPr defaultColWidth="9.140625" defaultRowHeight="15"/>
  <cols>
    <col min="1" max="1" width="5.00390625" style="88" hidden="1" customWidth="1"/>
    <col min="2" max="2" width="7.421875" style="210" customWidth="1"/>
    <col min="3" max="3" width="32.00390625" style="63" customWidth="1"/>
    <col min="4" max="4" width="8.57421875" style="211" customWidth="1"/>
    <col min="5" max="5" width="8.421875" style="211" customWidth="1"/>
    <col min="6" max="6" width="11.00390625" style="211" customWidth="1"/>
    <col min="7" max="7" width="7.140625" style="211" customWidth="1"/>
    <col min="8" max="8" width="13.28125" style="212" customWidth="1"/>
    <col min="9" max="9" width="13.28125" style="211" customWidth="1"/>
    <col min="10" max="10" width="13.7109375" style="211" customWidth="1"/>
    <col min="11" max="11" width="14.7109375" style="211" customWidth="1"/>
    <col min="12" max="12" width="11.8515625" style="213" customWidth="1"/>
    <col min="13" max="13" width="12.28125" style="213" customWidth="1"/>
    <col min="14" max="14" width="9.421875" style="211" customWidth="1"/>
    <col min="15" max="15" width="16.00390625" style="19" customWidth="1"/>
    <col min="16" max="16" width="43.00390625" style="214" customWidth="1"/>
    <col min="17" max="17" width="11.7109375" style="215" customWidth="1"/>
    <col min="18" max="18" width="9.7109375" style="215" customWidth="1"/>
    <col min="19" max="19" width="12.28125" style="215" customWidth="1"/>
    <col min="20" max="20" width="7.7109375" style="215" customWidth="1"/>
    <col min="21" max="21" width="18.28125" style="216" customWidth="1"/>
    <col min="22" max="22" width="14.7109375" style="216" customWidth="1"/>
    <col min="23" max="23" width="16.7109375" style="216" customWidth="1"/>
    <col min="24" max="24" width="8.421875" style="216" customWidth="1"/>
    <col min="25" max="25" width="15.28125" style="216" customWidth="1"/>
    <col min="26" max="26" width="18.421875" style="217" customWidth="1"/>
    <col min="27" max="27" width="18.28125" style="218" customWidth="1"/>
    <col min="28" max="28" width="15.57421875" style="219" customWidth="1"/>
    <col min="29" max="59" width="9.140625" style="188" customWidth="1"/>
    <col min="60" max="16384" width="9.140625" style="189" customWidth="1"/>
  </cols>
  <sheetData>
    <row r="1" spans="2:28" ht="22.5" customHeight="1">
      <c r="B1" s="282" t="s">
        <v>236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2:28" ht="38.25" customHeight="1">
      <c r="B2" s="283" t="s">
        <v>38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5"/>
    </row>
    <row r="3" spans="2:28" ht="28.5" customHeight="1">
      <c r="B3" s="286" t="s">
        <v>21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</row>
    <row r="4" spans="2:28" ht="28.5" customHeight="1">
      <c r="B4" s="303" t="s">
        <v>321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</row>
    <row r="5" spans="2:28" ht="10.5" customHeight="1">
      <c r="B5" s="287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9"/>
    </row>
    <row r="6" spans="1:59" s="191" customFormat="1" ht="31.5" customHeight="1">
      <c r="A6" s="307" t="s">
        <v>7</v>
      </c>
      <c r="B6" s="310" t="s">
        <v>7</v>
      </c>
      <c r="C6" s="296" t="s">
        <v>12</v>
      </c>
      <c r="D6" s="304" t="s">
        <v>316</v>
      </c>
      <c r="E6" s="305"/>
      <c r="F6" s="305"/>
      <c r="G6" s="305"/>
      <c r="H6" s="306"/>
      <c r="I6" s="304" t="s">
        <v>237</v>
      </c>
      <c r="J6" s="305"/>
      <c r="K6" s="306"/>
      <c r="L6" s="296" t="s">
        <v>238</v>
      </c>
      <c r="M6" s="296" t="s">
        <v>239</v>
      </c>
      <c r="N6" s="299" t="s">
        <v>52</v>
      </c>
      <c r="O6" s="300"/>
      <c r="P6" s="317" t="s">
        <v>320</v>
      </c>
      <c r="Q6" s="318"/>
      <c r="R6" s="318"/>
      <c r="S6" s="318"/>
      <c r="T6" s="318"/>
      <c r="U6" s="319"/>
      <c r="V6" s="317" t="s">
        <v>319</v>
      </c>
      <c r="W6" s="318"/>
      <c r="X6" s="318"/>
      <c r="Y6" s="319"/>
      <c r="Z6" s="293" t="s">
        <v>28</v>
      </c>
      <c r="AA6" s="290" t="s">
        <v>20</v>
      </c>
      <c r="AB6" s="293" t="s">
        <v>0</v>
      </c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</row>
    <row r="7" spans="1:59" s="191" customFormat="1" ht="40.5" customHeight="1">
      <c r="A7" s="308"/>
      <c r="B7" s="311"/>
      <c r="C7" s="297"/>
      <c r="D7" s="313"/>
      <c r="E7" s="314"/>
      <c r="F7" s="314"/>
      <c r="G7" s="314"/>
      <c r="H7" s="315"/>
      <c r="I7" s="323" t="s">
        <v>15</v>
      </c>
      <c r="J7" s="324"/>
      <c r="K7" s="185" t="s">
        <v>98</v>
      </c>
      <c r="L7" s="297"/>
      <c r="M7" s="297"/>
      <c r="N7" s="301"/>
      <c r="O7" s="302"/>
      <c r="P7" s="320"/>
      <c r="Q7" s="321"/>
      <c r="R7" s="321"/>
      <c r="S7" s="321"/>
      <c r="T7" s="321"/>
      <c r="U7" s="322"/>
      <c r="V7" s="320"/>
      <c r="W7" s="321"/>
      <c r="X7" s="321"/>
      <c r="Y7" s="322"/>
      <c r="Z7" s="294"/>
      <c r="AA7" s="291"/>
      <c r="AB7" s="294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</row>
    <row r="8" spans="1:59" s="191" customFormat="1" ht="117" customHeight="1">
      <c r="A8" s="309"/>
      <c r="B8" s="312"/>
      <c r="C8" s="298"/>
      <c r="D8" s="185" t="s">
        <v>13</v>
      </c>
      <c r="E8" s="185" t="s">
        <v>18</v>
      </c>
      <c r="F8" s="222" t="s">
        <v>315</v>
      </c>
      <c r="G8" s="185" t="s">
        <v>42</v>
      </c>
      <c r="H8" s="61" t="s">
        <v>30</v>
      </c>
      <c r="I8" s="237" t="s">
        <v>313</v>
      </c>
      <c r="J8" s="237" t="s">
        <v>314</v>
      </c>
      <c r="K8" s="237" t="s">
        <v>314</v>
      </c>
      <c r="L8" s="298"/>
      <c r="M8" s="298"/>
      <c r="N8" s="59" t="s">
        <v>9</v>
      </c>
      <c r="O8" s="60" t="s">
        <v>51</v>
      </c>
      <c r="P8" s="49" t="s">
        <v>2</v>
      </c>
      <c r="Q8" s="49" t="s">
        <v>3</v>
      </c>
      <c r="R8" s="49" t="s">
        <v>4</v>
      </c>
      <c r="S8" s="50" t="s">
        <v>5</v>
      </c>
      <c r="T8" s="50" t="s">
        <v>108</v>
      </c>
      <c r="U8" s="50" t="s">
        <v>317</v>
      </c>
      <c r="V8" s="50" t="s">
        <v>318</v>
      </c>
      <c r="W8" s="50" t="s">
        <v>243</v>
      </c>
      <c r="X8" s="50" t="s">
        <v>14</v>
      </c>
      <c r="Y8" s="51" t="s">
        <v>16</v>
      </c>
      <c r="Z8" s="295"/>
      <c r="AA8" s="292"/>
      <c r="AB8" s="295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</row>
    <row r="9" spans="1:59" s="193" customFormat="1" ht="32.25" customHeight="1">
      <c r="A9" s="57">
        <v>42388</v>
      </c>
      <c r="B9" s="1">
        <v>0</v>
      </c>
      <c r="C9" s="2">
        <v>1</v>
      </c>
      <c r="D9" s="1">
        <v>2</v>
      </c>
      <c r="E9" s="2">
        <v>3</v>
      </c>
      <c r="F9" s="1">
        <v>4</v>
      </c>
      <c r="G9" s="2">
        <v>5</v>
      </c>
      <c r="H9" s="1">
        <v>6</v>
      </c>
      <c r="I9" s="1">
        <v>7</v>
      </c>
      <c r="J9" s="1">
        <v>8</v>
      </c>
      <c r="K9" s="1">
        <v>9</v>
      </c>
      <c r="L9" s="1" t="s">
        <v>296</v>
      </c>
      <c r="M9" s="2">
        <v>11</v>
      </c>
      <c r="N9" s="1">
        <v>12</v>
      </c>
      <c r="O9" s="2" t="s">
        <v>297</v>
      </c>
      <c r="P9" s="1">
        <v>14</v>
      </c>
      <c r="Q9" s="2">
        <v>15</v>
      </c>
      <c r="R9" s="1">
        <v>16</v>
      </c>
      <c r="S9" s="2">
        <v>17</v>
      </c>
      <c r="T9" s="2">
        <v>18</v>
      </c>
      <c r="U9" s="1" t="s">
        <v>298</v>
      </c>
      <c r="V9" s="2">
        <v>20</v>
      </c>
      <c r="W9" s="1" t="s">
        <v>299</v>
      </c>
      <c r="X9" s="2">
        <v>22</v>
      </c>
      <c r="Y9" s="1" t="s">
        <v>300</v>
      </c>
      <c r="Z9" s="2" t="s">
        <v>301</v>
      </c>
      <c r="AA9" s="1">
        <v>25</v>
      </c>
      <c r="AB9" s="2">
        <v>26</v>
      </c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</row>
    <row r="10" spans="1:144" s="195" customFormat="1" ht="43.5" customHeight="1">
      <c r="A10" s="58"/>
      <c r="B10" s="271" t="s">
        <v>322</v>
      </c>
      <c r="C10" s="272"/>
      <c r="D10" s="272"/>
      <c r="E10" s="239"/>
      <c r="F10" s="239"/>
      <c r="G10" s="239"/>
      <c r="H10" s="238"/>
      <c r="I10" s="56">
        <f>SUM(I11:I161)</f>
        <v>175.5</v>
      </c>
      <c r="J10" s="56">
        <f>SUM(J11:J161)</f>
        <v>5492.1</v>
      </c>
      <c r="K10" s="56">
        <f>SUM(K11:K161)</f>
        <v>14.8</v>
      </c>
      <c r="L10" s="56">
        <f>SUM(L11:L161)</f>
        <v>5682.400000000001</v>
      </c>
      <c r="M10" s="56">
        <f>SUM(M11:M161)</f>
        <v>5682.400000000001</v>
      </c>
      <c r="N10" s="89"/>
      <c r="O10" s="89">
        <f>SUM(O11:O161)</f>
        <v>313409500</v>
      </c>
      <c r="P10" s="89"/>
      <c r="Q10" s="89"/>
      <c r="R10" s="89"/>
      <c r="S10" s="89"/>
      <c r="T10" s="89"/>
      <c r="U10" s="89">
        <f aca="true" t="shared" si="0" ref="U10:AA10">SUM(U11:U161)</f>
        <v>1045849516.4</v>
      </c>
      <c r="V10" s="89">
        <f t="shared" si="0"/>
        <v>40303300</v>
      </c>
      <c r="W10" s="89">
        <f t="shared" si="0"/>
        <v>940228500</v>
      </c>
      <c r="X10" s="89">
        <f t="shared" si="0"/>
        <v>6</v>
      </c>
      <c r="Y10" s="89">
        <f t="shared" si="0"/>
        <v>21000000</v>
      </c>
      <c r="Z10" s="89">
        <f t="shared" si="0"/>
        <v>2360790816.4</v>
      </c>
      <c r="AA10" s="89">
        <f t="shared" si="0"/>
        <v>2360790816.4</v>
      </c>
      <c r="AB10" s="89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</row>
    <row r="11" spans="2:28" s="75" customFormat="1" ht="92.25" customHeight="1">
      <c r="B11" s="265">
        <v>1</v>
      </c>
      <c r="C11" s="180" t="s">
        <v>151</v>
      </c>
      <c r="D11" s="84" t="s">
        <v>99</v>
      </c>
      <c r="E11" s="84" t="s">
        <v>100</v>
      </c>
      <c r="F11" s="86">
        <v>492.5</v>
      </c>
      <c r="G11" s="86" t="s">
        <v>29</v>
      </c>
      <c r="H11" s="87" t="s">
        <v>40</v>
      </c>
      <c r="I11" s="80"/>
      <c r="J11" s="80">
        <v>492.5</v>
      </c>
      <c r="K11" s="80"/>
      <c r="L11" s="62">
        <f>I11+J11+K11</f>
        <v>492.5</v>
      </c>
      <c r="M11" s="276">
        <f>L11</f>
        <v>492.5</v>
      </c>
      <c r="N11" s="81">
        <v>55000</v>
      </c>
      <c r="O11" s="81">
        <f>L11*N11</f>
        <v>27087500</v>
      </c>
      <c r="P11" s="81" t="s">
        <v>112</v>
      </c>
      <c r="Q11" s="182">
        <f>8.5*4.3</f>
        <v>36.55</v>
      </c>
      <c r="R11" s="183" t="s">
        <v>164</v>
      </c>
      <c r="S11" s="81">
        <v>1460000</v>
      </c>
      <c r="T11" s="82">
        <v>0.8</v>
      </c>
      <c r="U11" s="81">
        <f aca="true" t="shared" si="1" ref="U11:U73">Q11*S11*T11</f>
        <v>42690400</v>
      </c>
      <c r="V11" s="81">
        <f>L11*7000</f>
        <v>3447500</v>
      </c>
      <c r="W11" s="81">
        <f>L11*N11*3</f>
        <v>81262500</v>
      </c>
      <c r="X11" s="81">
        <v>1</v>
      </c>
      <c r="Y11" s="81">
        <f>X11*3500000</f>
        <v>3500000</v>
      </c>
      <c r="Z11" s="81">
        <f>O11+U11+V11+W11+Y11</f>
        <v>157987900</v>
      </c>
      <c r="AA11" s="279">
        <f>SUM(Z11:Z32)</f>
        <v>338569292</v>
      </c>
      <c r="AB11" s="91" t="s">
        <v>113</v>
      </c>
    </row>
    <row r="12" spans="2:28" s="75" customFormat="1" ht="72" customHeight="1">
      <c r="B12" s="266"/>
      <c r="C12" s="180" t="s">
        <v>151</v>
      </c>
      <c r="D12" s="84" t="s">
        <v>99</v>
      </c>
      <c r="E12" s="84" t="s">
        <v>100</v>
      </c>
      <c r="F12" s="86">
        <v>492.5</v>
      </c>
      <c r="G12" s="86" t="s">
        <v>29</v>
      </c>
      <c r="H12" s="87" t="s">
        <v>40</v>
      </c>
      <c r="I12" s="80"/>
      <c r="J12" s="80"/>
      <c r="K12" s="80"/>
      <c r="L12" s="62"/>
      <c r="M12" s="277"/>
      <c r="N12" s="81"/>
      <c r="O12" s="81"/>
      <c r="P12" s="81" t="s">
        <v>292</v>
      </c>
      <c r="Q12" s="182">
        <f>2.6*1.6</f>
        <v>4.16</v>
      </c>
      <c r="R12" s="183" t="s">
        <v>164</v>
      </c>
      <c r="S12" s="81">
        <v>1500000</v>
      </c>
      <c r="T12" s="82">
        <v>0.8</v>
      </c>
      <c r="U12" s="81">
        <f t="shared" si="1"/>
        <v>4992000</v>
      </c>
      <c r="V12" s="81"/>
      <c r="W12" s="81"/>
      <c r="X12" s="81"/>
      <c r="Y12" s="81"/>
      <c r="Z12" s="81">
        <f aca="true" t="shared" si="2" ref="Z12:Z75">O12+U12+V12+W12+Y12</f>
        <v>4992000</v>
      </c>
      <c r="AA12" s="280"/>
      <c r="AB12" s="91" t="s">
        <v>114</v>
      </c>
    </row>
    <row r="13" spans="2:28" s="65" customFormat="1" ht="72" customHeight="1">
      <c r="B13" s="266"/>
      <c r="C13" s="220" t="s">
        <v>151</v>
      </c>
      <c r="D13" s="71" t="s">
        <v>99</v>
      </c>
      <c r="E13" s="71" t="s">
        <v>100</v>
      </c>
      <c r="F13" s="72">
        <v>492.5</v>
      </c>
      <c r="G13" s="72" t="s">
        <v>29</v>
      </c>
      <c r="H13" s="73" t="s">
        <v>40</v>
      </c>
      <c r="I13" s="66"/>
      <c r="J13" s="66"/>
      <c r="K13" s="66"/>
      <c r="L13" s="62"/>
      <c r="M13" s="277"/>
      <c r="N13" s="67"/>
      <c r="O13" s="67"/>
      <c r="P13" s="67" t="s">
        <v>293</v>
      </c>
      <c r="Q13" s="186">
        <f>17.9*1.2+2.9*1.2</f>
        <v>24.959999999999997</v>
      </c>
      <c r="R13" s="68" t="s">
        <v>211</v>
      </c>
      <c r="S13" s="67">
        <v>580000</v>
      </c>
      <c r="T13" s="69">
        <v>0.8</v>
      </c>
      <c r="U13" s="81">
        <f t="shared" si="1"/>
        <v>11581440</v>
      </c>
      <c r="V13" s="67"/>
      <c r="W13" s="67"/>
      <c r="X13" s="67"/>
      <c r="Y13" s="67"/>
      <c r="Z13" s="81">
        <f t="shared" si="2"/>
        <v>11581440</v>
      </c>
      <c r="AA13" s="280"/>
      <c r="AB13" s="70"/>
    </row>
    <row r="14" spans="2:28" s="65" customFormat="1" ht="72" customHeight="1">
      <c r="B14" s="266"/>
      <c r="C14" s="220" t="s">
        <v>151</v>
      </c>
      <c r="D14" s="71" t="s">
        <v>99</v>
      </c>
      <c r="E14" s="71" t="s">
        <v>100</v>
      </c>
      <c r="F14" s="72">
        <v>492.5</v>
      </c>
      <c r="G14" s="72" t="s">
        <v>29</v>
      </c>
      <c r="H14" s="73" t="s">
        <v>40</v>
      </c>
      <c r="I14" s="66"/>
      <c r="J14" s="66"/>
      <c r="K14" s="66"/>
      <c r="L14" s="62"/>
      <c r="M14" s="277"/>
      <c r="N14" s="67"/>
      <c r="O14" s="67"/>
      <c r="P14" s="67" t="s">
        <v>250</v>
      </c>
      <c r="Q14" s="186">
        <f>17.9*1.7+2.9*1.7</f>
        <v>35.36</v>
      </c>
      <c r="R14" s="68" t="s">
        <v>211</v>
      </c>
      <c r="S14" s="67">
        <v>430000</v>
      </c>
      <c r="T14" s="69">
        <v>0.8</v>
      </c>
      <c r="U14" s="81">
        <f t="shared" si="1"/>
        <v>12163840</v>
      </c>
      <c r="V14" s="67"/>
      <c r="W14" s="67"/>
      <c r="X14" s="67"/>
      <c r="Y14" s="67"/>
      <c r="Z14" s="81">
        <f t="shared" si="2"/>
        <v>12163840</v>
      </c>
      <c r="AA14" s="280"/>
      <c r="AB14" s="70"/>
    </row>
    <row r="15" spans="2:28" s="75" customFormat="1" ht="52.5" customHeight="1">
      <c r="B15" s="266"/>
      <c r="C15" s="180" t="s">
        <v>151</v>
      </c>
      <c r="D15" s="84" t="s">
        <v>99</v>
      </c>
      <c r="E15" s="84" t="s">
        <v>100</v>
      </c>
      <c r="F15" s="86">
        <v>492.5</v>
      </c>
      <c r="G15" s="86" t="s">
        <v>29</v>
      </c>
      <c r="H15" s="87" t="s">
        <v>40</v>
      </c>
      <c r="I15" s="80"/>
      <c r="J15" s="80"/>
      <c r="K15" s="80"/>
      <c r="L15" s="62"/>
      <c r="M15" s="277"/>
      <c r="N15" s="81"/>
      <c r="O15" s="81"/>
      <c r="P15" s="81" t="s">
        <v>116</v>
      </c>
      <c r="Q15" s="182">
        <f>14*1.6</f>
        <v>22.400000000000002</v>
      </c>
      <c r="R15" s="90" t="s">
        <v>175</v>
      </c>
      <c r="S15" s="81">
        <v>430000</v>
      </c>
      <c r="T15" s="82">
        <v>0.8</v>
      </c>
      <c r="U15" s="81">
        <f t="shared" si="1"/>
        <v>7705600</v>
      </c>
      <c r="V15" s="81"/>
      <c r="W15" s="81"/>
      <c r="X15" s="81"/>
      <c r="Y15" s="81"/>
      <c r="Z15" s="81">
        <f t="shared" si="2"/>
        <v>7705600</v>
      </c>
      <c r="AA15" s="280"/>
      <c r="AB15" s="91"/>
    </row>
    <row r="16" spans="2:28" s="75" customFormat="1" ht="66.75" customHeight="1">
      <c r="B16" s="266"/>
      <c r="C16" s="180" t="s">
        <v>151</v>
      </c>
      <c r="D16" s="84" t="s">
        <v>99</v>
      </c>
      <c r="E16" s="84" t="s">
        <v>100</v>
      </c>
      <c r="F16" s="86">
        <v>492.5</v>
      </c>
      <c r="G16" s="86" t="s">
        <v>29</v>
      </c>
      <c r="H16" s="87" t="s">
        <v>40</v>
      </c>
      <c r="I16" s="80"/>
      <c r="J16" s="80"/>
      <c r="K16" s="80"/>
      <c r="L16" s="62"/>
      <c r="M16" s="277"/>
      <c r="N16" s="81"/>
      <c r="O16" s="81"/>
      <c r="P16" s="81" t="s">
        <v>115</v>
      </c>
      <c r="Q16" s="182">
        <f>15.5*3.5</f>
        <v>54.25</v>
      </c>
      <c r="R16" s="183" t="s">
        <v>164</v>
      </c>
      <c r="S16" s="81">
        <v>1100000</v>
      </c>
      <c r="T16" s="82">
        <v>0.8</v>
      </c>
      <c r="U16" s="81">
        <f t="shared" si="1"/>
        <v>47740000</v>
      </c>
      <c r="V16" s="81"/>
      <c r="W16" s="81"/>
      <c r="X16" s="81"/>
      <c r="Y16" s="81"/>
      <c r="Z16" s="81">
        <f t="shared" si="2"/>
        <v>47740000</v>
      </c>
      <c r="AA16" s="280"/>
      <c r="AB16" s="196"/>
    </row>
    <row r="17" spans="2:28" s="75" customFormat="1" ht="70.5" customHeight="1">
      <c r="B17" s="266"/>
      <c r="C17" s="180" t="s">
        <v>151</v>
      </c>
      <c r="D17" s="84" t="s">
        <v>99</v>
      </c>
      <c r="E17" s="84" t="s">
        <v>100</v>
      </c>
      <c r="F17" s="86">
        <v>492.5</v>
      </c>
      <c r="G17" s="86" t="s">
        <v>29</v>
      </c>
      <c r="H17" s="87" t="s">
        <v>40</v>
      </c>
      <c r="I17" s="80"/>
      <c r="J17" s="80"/>
      <c r="K17" s="80"/>
      <c r="L17" s="62"/>
      <c r="M17" s="277"/>
      <c r="N17" s="81"/>
      <c r="O17" s="81"/>
      <c r="P17" s="81" t="s">
        <v>117</v>
      </c>
      <c r="Q17" s="182">
        <f>3*2*1.6</f>
        <v>9.600000000000001</v>
      </c>
      <c r="R17" s="183" t="s">
        <v>245</v>
      </c>
      <c r="S17" s="81">
        <v>1460000</v>
      </c>
      <c r="T17" s="82">
        <v>0.8</v>
      </c>
      <c r="U17" s="81">
        <f t="shared" si="1"/>
        <v>11212800.000000002</v>
      </c>
      <c r="V17" s="81"/>
      <c r="W17" s="81"/>
      <c r="X17" s="81"/>
      <c r="Y17" s="81"/>
      <c r="Z17" s="81">
        <f t="shared" si="2"/>
        <v>11212800.000000002</v>
      </c>
      <c r="AA17" s="280"/>
      <c r="AB17" s="196"/>
    </row>
    <row r="18" spans="2:28" s="75" customFormat="1" ht="83.25" customHeight="1">
      <c r="B18" s="266"/>
      <c r="C18" s="180" t="s">
        <v>151</v>
      </c>
      <c r="D18" s="84" t="s">
        <v>99</v>
      </c>
      <c r="E18" s="84" t="s">
        <v>100</v>
      </c>
      <c r="F18" s="86">
        <v>492.5</v>
      </c>
      <c r="G18" s="86" t="s">
        <v>29</v>
      </c>
      <c r="H18" s="87" t="s">
        <v>40</v>
      </c>
      <c r="I18" s="80"/>
      <c r="J18" s="80"/>
      <c r="K18" s="80"/>
      <c r="L18" s="62"/>
      <c r="M18" s="277"/>
      <c r="N18" s="81"/>
      <c r="O18" s="81"/>
      <c r="P18" s="81" t="s">
        <v>118</v>
      </c>
      <c r="Q18" s="182">
        <f>10*2.9</f>
        <v>29</v>
      </c>
      <c r="R18" s="183" t="s">
        <v>164</v>
      </c>
      <c r="S18" s="81">
        <v>240000</v>
      </c>
      <c r="T18" s="82">
        <v>0.8</v>
      </c>
      <c r="U18" s="81">
        <f t="shared" si="1"/>
        <v>5568000</v>
      </c>
      <c r="V18" s="81"/>
      <c r="W18" s="81"/>
      <c r="X18" s="81"/>
      <c r="Y18" s="81"/>
      <c r="Z18" s="81">
        <f t="shared" si="2"/>
        <v>5568000</v>
      </c>
      <c r="AA18" s="280"/>
      <c r="AB18" s="196" t="s">
        <v>271</v>
      </c>
    </row>
    <row r="19" spans="2:28" s="65" customFormat="1" ht="45.75" customHeight="1">
      <c r="B19" s="266"/>
      <c r="C19" s="220" t="s">
        <v>151</v>
      </c>
      <c r="D19" s="71" t="s">
        <v>99</v>
      </c>
      <c r="E19" s="71" t="s">
        <v>100</v>
      </c>
      <c r="F19" s="72">
        <v>492.5</v>
      </c>
      <c r="G19" s="72" t="s">
        <v>29</v>
      </c>
      <c r="H19" s="73" t="s">
        <v>40</v>
      </c>
      <c r="I19" s="66"/>
      <c r="J19" s="66"/>
      <c r="K19" s="66"/>
      <c r="L19" s="62"/>
      <c r="M19" s="277"/>
      <c r="N19" s="67"/>
      <c r="O19" s="67"/>
      <c r="P19" s="67" t="s">
        <v>276</v>
      </c>
      <c r="Q19" s="66">
        <f>40*1.2</f>
        <v>48</v>
      </c>
      <c r="R19" s="223" t="s">
        <v>275</v>
      </c>
      <c r="S19" s="67">
        <v>220000</v>
      </c>
      <c r="T19" s="69">
        <v>0.8</v>
      </c>
      <c r="U19" s="67">
        <f t="shared" si="1"/>
        <v>8448000</v>
      </c>
      <c r="V19" s="67"/>
      <c r="W19" s="67"/>
      <c r="X19" s="67"/>
      <c r="Y19" s="67"/>
      <c r="Z19" s="81">
        <f t="shared" si="2"/>
        <v>8448000</v>
      </c>
      <c r="AA19" s="280"/>
      <c r="AB19" s="181"/>
    </row>
    <row r="20" spans="2:28" s="65" customFormat="1" ht="61.5" customHeight="1">
      <c r="B20" s="266"/>
      <c r="C20" s="220" t="s">
        <v>151</v>
      </c>
      <c r="D20" s="71" t="s">
        <v>99</v>
      </c>
      <c r="E20" s="71" t="s">
        <v>100</v>
      </c>
      <c r="F20" s="72">
        <v>492.5</v>
      </c>
      <c r="G20" s="72" t="s">
        <v>29</v>
      </c>
      <c r="H20" s="73" t="s">
        <v>40</v>
      </c>
      <c r="I20" s="66"/>
      <c r="J20" s="66"/>
      <c r="K20" s="66"/>
      <c r="L20" s="62"/>
      <c r="M20" s="277"/>
      <c r="N20" s="67"/>
      <c r="O20" s="67"/>
      <c r="P20" s="67" t="s">
        <v>272</v>
      </c>
      <c r="Q20" s="186">
        <f>2.6*1.6*0.8</f>
        <v>3.3280000000000003</v>
      </c>
      <c r="R20" s="223" t="s">
        <v>273</v>
      </c>
      <c r="S20" s="67">
        <v>1030000</v>
      </c>
      <c r="T20" s="69">
        <v>0.8</v>
      </c>
      <c r="U20" s="67">
        <f t="shared" si="1"/>
        <v>2742272.0000000005</v>
      </c>
      <c r="V20" s="67"/>
      <c r="W20" s="67"/>
      <c r="X20" s="67"/>
      <c r="Y20" s="67"/>
      <c r="Z20" s="81">
        <f t="shared" si="2"/>
        <v>2742272.0000000005</v>
      </c>
      <c r="AA20" s="280"/>
      <c r="AB20" s="181"/>
    </row>
    <row r="21" spans="2:28" s="65" customFormat="1" ht="45.75" customHeight="1">
      <c r="B21" s="266"/>
      <c r="C21" s="220" t="s">
        <v>151</v>
      </c>
      <c r="D21" s="71" t="s">
        <v>99</v>
      </c>
      <c r="E21" s="71" t="s">
        <v>100</v>
      </c>
      <c r="F21" s="72">
        <v>492.5</v>
      </c>
      <c r="G21" s="72" t="s">
        <v>29</v>
      </c>
      <c r="H21" s="73" t="s">
        <v>40</v>
      </c>
      <c r="I21" s="66"/>
      <c r="J21" s="66"/>
      <c r="K21" s="66"/>
      <c r="L21" s="62"/>
      <c r="M21" s="277"/>
      <c r="N21" s="67"/>
      <c r="O21" s="67"/>
      <c r="P21" s="67" t="s">
        <v>323</v>
      </c>
      <c r="Q21" s="186">
        <f>3*20</f>
        <v>60</v>
      </c>
      <c r="R21" s="223" t="s">
        <v>169</v>
      </c>
      <c r="S21" s="67">
        <v>170000</v>
      </c>
      <c r="T21" s="69">
        <v>0.8</v>
      </c>
      <c r="U21" s="67">
        <f>Q21*S21*T21</f>
        <v>8160000</v>
      </c>
      <c r="V21" s="67"/>
      <c r="W21" s="67"/>
      <c r="X21" s="67"/>
      <c r="Y21" s="67"/>
      <c r="Z21" s="81">
        <f t="shared" si="2"/>
        <v>8160000</v>
      </c>
      <c r="AA21" s="280"/>
      <c r="AB21" s="181"/>
    </row>
    <row r="22" spans="2:28" s="65" customFormat="1" ht="45.75" customHeight="1">
      <c r="B22" s="266"/>
      <c r="C22" s="220" t="s">
        <v>151</v>
      </c>
      <c r="D22" s="71" t="s">
        <v>99</v>
      </c>
      <c r="E22" s="71" t="s">
        <v>100</v>
      </c>
      <c r="F22" s="72">
        <v>492.5</v>
      </c>
      <c r="G22" s="72" t="s">
        <v>29</v>
      </c>
      <c r="H22" s="73" t="s">
        <v>40</v>
      </c>
      <c r="I22" s="66"/>
      <c r="J22" s="66"/>
      <c r="K22" s="66"/>
      <c r="L22" s="62"/>
      <c r="M22" s="277"/>
      <c r="N22" s="67"/>
      <c r="O22" s="67"/>
      <c r="P22" s="67" t="s">
        <v>274</v>
      </c>
      <c r="Q22" s="186">
        <f>2*1.2*2.2</f>
        <v>5.28</v>
      </c>
      <c r="R22" s="223" t="s">
        <v>275</v>
      </c>
      <c r="S22" s="67">
        <v>1060000</v>
      </c>
      <c r="T22" s="69">
        <v>0.8</v>
      </c>
      <c r="U22" s="67">
        <f t="shared" si="1"/>
        <v>4477440</v>
      </c>
      <c r="V22" s="67"/>
      <c r="W22" s="67"/>
      <c r="X22" s="67"/>
      <c r="Y22" s="67"/>
      <c r="Z22" s="81">
        <f t="shared" si="2"/>
        <v>4477440</v>
      </c>
      <c r="AA22" s="280"/>
      <c r="AB22" s="181"/>
    </row>
    <row r="23" spans="2:28" s="75" customFormat="1" ht="45.75" customHeight="1">
      <c r="B23" s="266"/>
      <c r="C23" s="180" t="s">
        <v>151</v>
      </c>
      <c r="D23" s="84" t="s">
        <v>99</v>
      </c>
      <c r="E23" s="84" t="s">
        <v>100</v>
      </c>
      <c r="F23" s="86">
        <v>492.5</v>
      </c>
      <c r="G23" s="86" t="s">
        <v>29</v>
      </c>
      <c r="H23" s="87" t="s">
        <v>40</v>
      </c>
      <c r="I23" s="80"/>
      <c r="J23" s="80"/>
      <c r="K23" s="80"/>
      <c r="L23" s="62"/>
      <c r="M23" s="277"/>
      <c r="N23" s="81"/>
      <c r="O23" s="81"/>
      <c r="P23" s="81" t="s">
        <v>119</v>
      </c>
      <c r="Q23" s="81">
        <v>17</v>
      </c>
      <c r="R23" s="183" t="s">
        <v>110</v>
      </c>
      <c r="S23" s="81">
        <v>1500000</v>
      </c>
      <c r="T23" s="82">
        <v>1</v>
      </c>
      <c r="U23" s="81">
        <f t="shared" si="1"/>
        <v>25500000</v>
      </c>
      <c r="V23" s="81"/>
      <c r="W23" s="81"/>
      <c r="X23" s="81"/>
      <c r="Y23" s="81"/>
      <c r="Z23" s="81">
        <f t="shared" si="2"/>
        <v>25500000</v>
      </c>
      <c r="AA23" s="280"/>
      <c r="AB23" s="196" t="s">
        <v>123</v>
      </c>
    </row>
    <row r="24" spans="2:28" s="75" customFormat="1" ht="40.5" customHeight="1">
      <c r="B24" s="266"/>
      <c r="C24" s="180" t="s">
        <v>151</v>
      </c>
      <c r="D24" s="84" t="s">
        <v>99</v>
      </c>
      <c r="E24" s="84" t="s">
        <v>100</v>
      </c>
      <c r="F24" s="86">
        <v>492.5</v>
      </c>
      <c r="G24" s="86" t="s">
        <v>29</v>
      </c>
      <c r="H24" s="87" t="s">
        <v>40</v>
      </c>
      <c r="I24" s="80"/>
      <c r="J24" s="80"/>
      <c r="K24" s="80"/>
      <c r="L24" s="62"/>
      <c r="M24" s="277"/>
      <c r="N24" s="81"/>
      <c r="O24" s="81"/>
      <c r="P24" s="81" t="s">
        <v>124</v>
      </c>
      <c r="Q24" s="81">
        <v>2</v>
      </c>
      <c r="R24" s="183" t="s">
        <v>110</v>
      </c>
      <c r="S24" s="81">
        <v>1400000</v>
      </c>
      <c r="T24" s="82">
        <v>1</v>
      </c>
      <c r="U24" s="81">
        <f t="shared" si="1"/>
        <v>2800000</v>
      </c>
      <c r="V24" s="81"/>
      <c r="W24" s="81"/>
      <c r="X24" s="81"/>
      <c r="Y24" s="81"/>
      <c r="Z24" s="81">
        <f t="shared" si="2"/>
        <v>2800000</v>
      </c>
      <c r="AA24" s="280"/>
      <c r="AB24" s="196"/>
    </row>
    <row r="25" spans="2:28" s="75" customFormat="1" ht="40.5" customHeight="1">
      <c r="B25" s="266"/>
      <c r="C25" s="180" t="s">
        <v>151</v>
      </c>
      <c r="D25" s="84" t="s">
        <v>99</v>
      </c>
      <c r="E25" s="84" t="s">
        <v>100</v>
      </c>
      <c r="F25" s="86">
        <v>492.5</v>
      </c>
      <c r="G25" s="86" t="s">
        <v>29</v>
      </c>
      <c r="H25" s="87" t="s">
        <v>40</v>
      </c>
      <c r="I25" s="80"/>
      <c r="J25" s="80"/>
      <c r="K25" s="80"/>
      <c r="L25" s="62"/>
      <c r="M25" s="277"/>
      <c r="N25" s="81"/>
      <c r="O25" s="81"/>
      <c r="P25" s="81" t="s">
        <v>120</v>
      </c>
      <c r="Q25" s="81">
        <v>1</v>
      </c>
      <c r="R25" s="183" t="s">
        <v>110</v>
      </c>
      <c r="S25" s="81">
        <v>2945000</v>
      </c>
      <c r="T25" s="82">
        <v>1</v>
      </c>
      <c r="U25" s="81">
        <f t="shared" si="1"/>
        <v>2945000</v>
      </c>
      <c r="V25" s="81"/>
      <c r="W25" s="81"/>
      <c r="X25" s="81"/>
      <c r="Y25" s="81"/>
      <c r="Z25" s="81">
        <f t="shared" si="2"/>
        <v>2945000</v>
      </c>
      <c r="AA25" s="280"/>
      <c r="AB25" s="196"/>
    </row>
    <row r="26" spans="2:28" s="75" customFormat="1" ht="40.5" customHeight="1">
      <c r="B26" s="266"/>
      <c r="C26" s="180" t="s">
        <v>151</v>
      </c>
      <c r="D26" s="84" t="s">
        <v>99</v>
      </c>
      <c r="E26" s="84" t="s">
        <v>100</v>
      </c>
      <c r="F26" s="86">
        <v>492.5</v>
      </c>
      <c r="G26" s="86" t="s">
        <v>29</v>
      </c>
      <c r="H26" s="87" t="s">
        <v>40</v>
      </c>
      <c r="I26" s="80"/>
      <c r="J26" s="80"/>
      <c r="K26" s="80"/>
      <c r="L26" s="62"/>
      <c r="M26" s="277"/>
      <c r="N26" s="81"/>
      <c r="O26" s="81"/>
      <c r="P26" s="81" t="s">
        <v>121</v>
      </c>
      <c r="Q26" s="81">
        <v>1</v>
      </c>
      <c r="R26" s="183" t="s">
        <v>110</v>
      </c>
      <c r="S26" s="81">
        <v>2315000</v>
      </c>
      <c r="T26" s="82">
        <v>1</v>
      </c>
      <c r="U26" s="81">
        <f t="shared" si="1"/>
        <v>2315000</v>
      </c>
      <c r="V26" s="81"/>
      <c r="W26" s="81"/>
      <c r="X26" s="81"/>
      <c r="Y26" s="81"/>
      <c r="Z26" s="81">
        <f t="shared" si="2"/>
        <v>2315000</v>
      </c>
      <c r="AA26" s="280"/>
      <c r="AB26" s="196"/>
    </row>
    <row r="27" spans="2:28" s="75" customFormat="1" ht="40.5" customHeight="1">
      <c r="B27" s="266"/>
      <c r="C27" s="180" t="s">
        <v>151</v>
      </c>
      <c r="D27" s="84" t="s">
        <v>99</v>
      </c>
      <c r="E27" s="84" t="s">
        <v>100</v>
      </c>
      <c r="F27" s="86">
        <v>492.5</v>
      </c>
      <c r="G27" s="86" t="s">
        <v>29</v>
      </c>
      <c r="H27" s="87" t="s">
        <v>40</v>
      </c>
      <c r="I27" s="80"/>
      <c r="J27" s="80"/>
      <c r="K27" s="80"/>
      <c r="L27" s="62"/>
      <c r="M27" s="277"/>
      <c r="N27" s="81"/>
      <c r="O27" s="81"/>
      <c r="P27" s="81" t="s">
        <v>122</v>
      </c>
      <c r="Q27" s="81">
        <v>18</v>
      </c>
      <c r="R27" s="183" t="s">
        <v>110</v>
      </c>
      <c r="S27" s="81">
        <v>1235000</v>
      </c>
      <c r="T27" s="82">
        <v>1</v>
      </c>
      <c r="U27" s="81">
        <f t="shared" si="1"/>
        <v>22230000</v>
      </c>
      <c r="V27" s="81"/>
      <c r="W27" s="81"/>
      <c r="X27" s="81"/>
      <c r="Y27" s="81"/>
      <c r="Z27" s="81">
        <f t="shared" si="2"/>
        <v>22230000</v>
      </c>
      <c r="AA27" s="280"/>
      <c r="AB27" s="196"/>
    </row>
    <row r="28" spans="2:28" s="75" customFormat="1" ht="40.5" customHeight="1">
      <c r="B28" s="266"/>
      <c r="C28" s="180" t="s">
        <v>151</v>
      </c>
      <c r="D28" s="84" t="s">
        <v>99</v>
      </c>
      <c r="E28" s="84" t="s">
        <v>100</v>
      </c>
      <c r="F28" s="86">
        <v>492.5</v>
      </c>
      <c r="G28" s="86" t="s">
        <v>29</v>
      </c>
      <c r="H28" s="87" t="s">
        <v>40</v>
      </c>
      <c r="I28" s="80"/>
      <c r="J28" s="80"/>
      <c r="K28" s="80"/>
      <c r="L28" s="62"/>
      <c r="M28" s="277"/>
      <c r="N28" s="81"/>
      <c r="O28" s="81"/>
      <c r="P28" s="81" t="s">
        <v>122</v>
      </c>
      <c r="Q28" s="81">
        <v>2</v>
      </c>
      <c r="R28" s="183" t="s">
        <v>110</v>
      </c>
      <c r="S28" s="81"/>
      <c r="T28" s="82"/>
      <c r="U28" s="81"/>
      <c r="V28" s="81"/>
      <c r="W28" s="81"/>
      <c r="X28" s="81"/>
      <c r="Y28" s="81"/>
      <c r="Z28" s="81"/>
      <c r="AA28" s="280"/>
      <c r="AB28" s="196" t="s">
        <v>125</v>
      </c>
    </row>
    <row r="29" spans="2:28" s="75" customFormat="1" ht="40.5" customHeight="1">
      <c r="B29" s="266"/>
      <c r="C29" s="180" t="s">
        <v>151</v>
      </c>
      <c r="D29" s="84" t="s">
        <v>99</v>
      </c>
      <c r="E29" s="84" t="s">
        <v>100</v>
      </c>
      <c r="F29" s="86">
        <v>492.5</v>
      </c>
      <c r="G29" s="86" t="s">
        <v>29</v>
      </c>
      <c r="H29" s="87" t="s">
        <v>40</v>
      </c>
      <c r="I29" s="80"/>
      <c r="J29" s="80"/>
      <c r="K29" s="80"/>
      <c r="L29" s="62"/>
      <c r="M29" s="277"/>
      <c r="N29" s="81"/>
      <c r="O29" s="81"/>
      <c r="P29" s="81" t="s">
        <v>126</v>
      </c>
      <c r="Q29" s="81">
        <v>7</v>
      </c>
      <c r="R29" s="183" t="s">
        <v>110</v>
      </c>
      <c r="S29" s="81"/>
      <c r="T29" s="82"/>
      <c r="U29" s="81"/>
      <c r="V29" s="81"/>
      <c r="W29" s="81"/>
      <c r="X29" s="81"/>
      <c r="Y29" s="81"/>
      <c r="Z29" s="81"/>
      <c r="AA29" s="280"/>
      <c r="AB29" s="196" t="s">
        <v>125</v>
      </c>
    </row>
    <row r="30" spans="2:28" s="75" customFormat="1" ht="40.5" customHeight="1">
      <c r="B30" s="266"/>
      <c r="C30" s="180" t="s">
        <v>151</v>
      </c>
      <c r="D30" s="84" t="s">
        <v>99</v>
      </c>
      <c r="E30" s="84" t="s">
        <v>100</v>
      </c>
      <c r="F30" s="86">
        <v>492.5</v>
      </c>
      <c r="G30" s="86" t="s">
        <v>29</v>
      </c>
      <c r="H30" s="87" t="s">
        <v>40</v>
      </c>
      <c r="I30" s="80"/>
      <c r="J30" s="80"/>
      <c r="K30" s="80"/>
      <c r="L30" s="62"/>
      <c r="M30" s="277"/>
      <c r="N30" s="81"/>
      <c r="O30" s="81"/>
      <c r="P30" s="81" t="s">
        <v>127</v>
      </c>
      <c r="Q30" s="81">
        <v>6</v>
      </c>
      <c r="R30" s="183" t="s">
        <v>110</v>
      </c>
      <c r="S30" s="81"/>
      <c r="T30" s="82"/>
      <c r="U30" s="81"/>
      <c r="V30" s="81"/>
      <c r="W30" s="81"/>
      <c r="X30" s="81"/>
      <c r="Y30" s="81"/>
      <c r="Z30" s="81"/>
      <c r="AA30" s="280"/>
      <c r="AB30" s="196" t="s">
        <v>125</v>
      </c>
    </row>
    <row r="31" spans="2:28" s="75" customFormat="1" ht="40.5" customHeight="1">
      <c r="B31" s="266"/>
      <c r="C31" s="180" t="s">
        <v>151</v>
      </c>
      <c r="D31" s="84" t="s">
        <v>99</v>
      </c>
      <c r="E31" s="84" t="s">
        <v>100</v>
      </c>
      <c r="F31" s="86">
        <v>492.5</v>
      </c>
      <c r="G31" s="86" t="s">
        <v>29</v>
      </c>
      <c r="H31" s="87" t="s">
        <v>40</v>
      </c>
      <c r="I31" s="80"/>
      <c r="J31" s="80"/>
      <c r="K31" s="80"/>
      <c r="L31" s="62"/>
      <c r="M31" s="277"/>
      <c r="N31" s="81"/>
      <c r="O31" s="81"/>
      <c r="P31" s="81" t="s">
        <v>128</v>
      </c>
      <c r="Q31" s="81">
        <v>1</v>
      </c>
      <c r="R31" s="183" t="s">
        <v>110</v>
      </c>
      <c r="S31" s="81"/>
      <c r="T31" s="82"/>
      <c r="U31" s="81"/>
      <c r="V31" s="81"/>
      <c r="W31" s="81"/>
      <c r="X31" s="81"/>
      <c r="Y31" s="81"/>
      <c r="Z31" s="81"/>
      <c r="AA31" s="280"/>
      <c r="AB31" s="196" t="s">
        <v>125</v>
      </c>
    </row>
    <row r="32" spans="2:28" s="75" customFormat="1" ht="40.5" customHeight="1">
      <c r="B32" s="267"/>
      <c r="C32" s="180" t="s">
        <v>151</v>
      </c>
      <c r="D32" s="84" t="s">
        <v>99</v>
      </c>
      <c r="E32" s="84" t="s">
        <v>100</v>
      </c>
      <c r="F32" s="86">
        <v>492.5</v>
      </c>
      <c r="G32" s="86" t="s">
        <v>29</v>
      </c>
      <c r="H32" s="87" t="s">
        <v>40</v>
      </c>
      <c r="I32" s="80"/>
      <c r="J32" s="80"/>
      <c r="K32" s="80"/>
      <c r="L32" s="62">
        <f>I32+J32+K32</f>
        <v>0</v>
      </c>
      <c r="M32" s="278"/>
      <c r="N32" s="81"/>
      <c r="O32" s="81"/>
      <c r="P32" s="81" t="s">
        <v>129</v>
      </c>
      <c r="Q32" s="81">
        <v>2</v>
      </c>
      <c r="R32" s="183" t="s">
        <v>110</v>
      </c>
      <c r="S32" s="81"/>
      <c r="T32" s="82"/>
      <c r="U32" s="81"/>
      <c r="V32" s="81"/>
      <c r="W32" s="81"/>
      <c r="X32" s="81"/>
      <c r="Y32" s="81"/>
      <c r="Z32" s="81"/>
      <c r="AA32" s="281"/>
      <c r="AB32" s="196" t="s">
        <v>125</v>
      </c>
    </row>
    <row r="33" spans="2:28" s="65" customFormat="1" ht="40.5" customHeight="1">
      <c r="B33" s="273">
        <v>2</v>
      </c>
      <c r="C33" s="220" t="s">
        <v>101</v>
      </c>
      <c r="D33" s="71" t="s">
        <v>102</v>
      </c>
      <c r="E33" s="71" t="s">
        <v>100</v>
      </c>
      <c r="F33" s="72">
        <v>312.3</v>
      </c>
      <c r="G33" s="72" t="s">
        <v>29</v>
      </c>
      <c r="H33" s="73" t="s">
        <v>40</v>
      </c>
      <c r="I33" s="66"/>
      <c r="J33" s="66">
        <v>224.5</v>
      </c>
      <c r="K33" s="66"/>
      <c r="L33" s="62">
        <f>I33+J33+K33</f>
        <v>224.5</v>
      </c>
      <c r="M33" s="276">
        <f>L33</f>
        <v>224.5</v>
      </c>
      <c r="N33" s="67">
        <v>55000</v>
      </c>
      <c r="O33" s="67">
        <f>L33*N33</f>
        <v>12347500</v>
      </c>
      <c r="P33" s="67" t="s">
        <v>158</v>
      </c>
      <c r="Q33" s="67">
        <v>6</v>
      </c>
      <c r="R33" s="68" t="s">
        <v>110</v>
      </c>
      <c r="S33" s="67">
        <v>300000</v>
      </c>
      <c r="T33" s="69">
        <v>1</v>
      </c>
      <c r="U33" s="67">
        <f t="shared" si="1"/>
        <v>1800000</v>
      </c>
      <c r="V33" s="81">
        <f>L33*7000</f>
        <v>1571500</v>
      </c>
      <c r="W33" s="67">
        <f>L33*N33*3</f>
        <v>37042500</v>
      </c>
      <c r="X33" s="67"/>
      <c r="Y33" s="67"/>
      <c r="Z33" s="81">
        <f t="shared" si="2"/>
        <v>52761500</v>
      </c>
      <c r="AA33" s="279">
        <f>SUM(Z33:Z42)</f>
        <v>82283300</v>
      </c>
      <c r="AB33" s="70"/>
    </row>
    <row r="34" spans="2:28" s="75" customFormat="1" ht="45.75" customHeight="1">
      <c r="B34" s="274"/>
      <c r="C34" s="180" t="s">
        <v>101</v>
      </c>
      <c r="D34" s="84" t="s">
        <v>102</v>
      </c>
      <c r="E34" s="84" t="s">
        <v>100</v>
      </c>
      <c r="F34" s="86">
        <v>312.3</v>
      </c>
      <c r="G34" s="86" t="s">
        <v>29</v>
      </c>
      <c r="H34" s="87" t="s">
        <v>40</v>
      </c>
      <c r="I34" s="80"/>
      <c r="J34" s="80"/>
      <c r="K34" s="80"/>
      <c r="L34" s="62"/>
      <c r="M34" s="277"/>
      <c r="N34" s="81"/>
      <c r="O34" s="81"/>
      <c r="P34" s="81" t="s">
        <v>170</v>
      </c>
      <c r="Q34" s="81">
        <v>2</v>
      </c>
      <c r="R34" s="90" t="s">
        <v>110</v>
      </c>
      <c r="S34" s="81">
        <v>460000</v>
      </c>
      <c r="T34" s="82">
        <v>1</v>
      </c>
      <c r="U34" s="81">
        <f t="shared" si="1"/>
        <v>920000</v>
      </c>
      <c r="V34" s="81"/>
      <c r="W34" s="81"/>
      <c r="X34" s="81"/>
      <c r="Y34" s="81"/>
      <c r="Z34" s="81">
        <f t="shared" si="2"/>
        <v>920000</v>
      </c>
      <c r="AA34" s="280"/>
      <c r="AB34" s="91"/>
    </row>
    <row r="35" spans="2:28" s="75" customFormat="1" ht="45.75" customHeight="1">
      <c r="B35" s="274"/>
      <c r="C35" s="180" t="s">
        <v>101</v>
      </c>
      <c r="D35" s="84" t="s">
        <v>102</v>
      </c>
      <c r="E35" s="84" t="s">
        <v>100</v>
      </c>
      <c r="F35" s="86">
        <v>312.3</v>
      </c>
      <c r="G35" s="86" t="s">
        <v>29</v>
      </c>
      <c r="H35" s="87" t="s">
        <v>40</v>
      </c>
      <c r="I35" s="80"/>
      <c r="J35" s="80"/>
      <c r="K35" s="80"/>
      <c r="L35" s="62"/>
      <c r="M35" s="277"/>
      <c r="N35" s="81"/>
      <c r="O35" s="81"/>
      <c r="P35" s="81" t="s">
        <v>214</v>
      </c>
      <c r="Q35" s="81">
        <v>2</v>
      </c>
      <c r="R35" s="90" t="s">
        <v>110</v>
      </c>
      <c r="S35" s="81">
        <v>320000</v>
      </c>
      <c r="T35" s="82">
        <v>1</v>
      </c>
      <c r="U35" s="81">
        <f t="shared" si="1"/>
        <v>640000</v>
      </c>
      <c r="V35" s="81"/>
      <c r="W35" s="81"/>
      <c r="X35" s="81"/>
      <c r="Y35" s="81"/>
      <c r="Z35" s="81">
        <f t="shared" si="2"/>
        <v>640000</v>
      </c>
      <c r="AA35" s="280"/>
      <c r="AB35" s="91"/>
    </row>
    <row r="36" spans="2:28" s="65" customFormat="1" ht="45.75" customHeight="1">
      <c r="B36" s="274"/>
      <c r="C36" s="220" t="s">
        <v>101</v>
      </c>
      <c r="D36" s="71" t="s">
        <v>102</v>
      </c>
      <c r="E36" s="71" t="s">
        <v>100</v>
      </c>
      <c r="F36" s="72">
        <v>312.3</v>
      </c>
      <c r="G36" s="72" t="s">
        <v>29</v>
      </c>
      <c r="H36" s="73" t="s">
        <v>40</v>
      </c>
      <c r="I36" s="66"/>
      <c r="J36" s="66"/>
      <c r="K36" s="66"/>
      <c r="L36" s="62"/>
      <c r="M36" s="277"/>
      <c r="N36" s="67"/>
      <c r="O36" s="67"/>
      <c r="P36" s="67" t="s">
        <v>212</v>
      </c>
      <c r="Q36" s="67">
        <v>4</v>
      </c>
      <c r="R36" s="68" t="s">
        <v>110</v>
      </c>
      <c r="S36" s="67">
        <v>415000</v>
      </c>
      <c r="T36" s="69">
        <v>1</v>
      </c>
      <c r="U36" s="67">
        <f t="shared" si="1"/>
        <v>1660000</v>
      </c>
      <c r="V36" s="67"/>
      <c r="W36" s="67"/>
      <c r="X36" s="67"/>
      <c r="Y36" s="67"/>
      <c r="Z36" s="81">
        <f t="shared" si="2"/>
        <v>1660000</v>
      </c>
      <c r="AA36" s="280"/>
      <c r="AB36" s="70"/>
    </row>
    <row r="37" spans="2:28" s="65" customFormat="1" ht="41.25" customHeight="1">
      <c r="B37" s="274"/>
      <c r="C37" s="220" t="s">
        <v>101</v>
      </c>
      <c r="D37" s="71" t="s">
        <v>102</v>
      </c>
      <c r="E37" s="71" t="s">
        <v>100</v>
      </c>
      <c r="F37" s="72">
        <v>312.3</v>
      </c>
      <c r="G37" s="72" t="s">
        <v>29</v>
      </c>
      <c r="H37" s="73" t="s">
        <v>40</v>
      </c>
      <c r="I37" s="66"/>
      <c r="J37" s="66"/>
      <c r="K37" s="66"/>
      <c r="L37" s="62"/>
      <c r="M37" s="277"/>
      <c r="N37" s="67"/>
      <c r="O37" s="67"/>
      <c r="P37" s="67" t="s">
        <v>213</v>
      </c>
      <c r="Q37" s="67">
        <v>2</v>
      </c>
      <c r="R37" s="68" t="s">
        <v>110</v>
      </c>
      <c r="S37" s="67">
        <v>345000</v>
      </c>
      <c r="T37" s="69">
        <v>1</v>
      </c>
      <c r="U37" s="67">
        <f t="shared" si="1"/>
        <v>690000</v>
      </c>
      <c r="V37" s="67"/>
      <c r="W37" s="67"/>
      <c r="X37" s="67"/>
      <c r="Y37" s="67"/>
      <c r="Z37" s="81">
        <f t="shared" si="2"/>
        <v>690000</v>
      </c>
      <c r="AA37" s="280"/>
      <c r="AB37" s="70"/>
    </row>
    <row r="38" spans="2:28" s="65" customFormat="1" ht="41.25" customHeight="1">
      <c r="B38" s="274"/>
      <c r="C38" s="220" t="s">
        <v>101</v>
      </c>
      <c r="D38" s="71" t="s">
        <v>102</v>
      </c>
      <c r="E38" s="71" t="s">
        <v>100</v>
      </c>
      <c r="F38" s="72">
        <v>312.3</v>
      </c>
      <c r="G38" s="72" t="s">
        <v>29</v>
      </c>
      <c r="H38" s="73" t="s">
        <v>40</v>
      </c>
      <c r="I38" s="66"/>
      <c r="J38" s="66"/>
      <c r="K38" s="66"/>
      <c r="L38" s="62"/>
      <c r="M38" s="277"/>
      <c r="N38" s="67"/>
      <c r="O38" s="67"/>
      <c r="P38" s="67" t="s">
        <v>257</v>
      </c>
      <c r="Q38" s="67">
        <v>1</v>
      </c>
      <c r="R38" s="68" t="s">
        <v>110</v>
      </c>
      <c r="S38" s="67">
        <v>1317000</v>
      </c>
      <c r="T38" s="69">
        <v>1</v>
      </c>
      <c r="U38" s="67">
        <f t="shared" si="1"/>
        <v>1317000</v>
      </c>
      <c r="V38" s="67"/>
      <c r="W38" s="67"/>
      <c r="X38" s="67"/>
      <c r="Y38" s="67"/>
      <c r="Z38" s="81">
        <f t="shared" si="2"/>
        <v>1317000</v>
      </c>
      <c r="AA38" s="280"/>
      <c r="AB38" s="70" t="s">
        <v>258</v>
      </c>
    </row>
    <row r="39" spans="2:28" s="65" customFormat="1" ht="41.25" customHeight="1">
      <c r="B39" s="274"/>
      <c r="C39" s="220" t="s">
        <v>101</v>
      </c>
      <c r="D39" s="71" t="s">
        <v>102</v>
      </c>
      <c r="E39" s="71" t="s">
        <v>100</v>
      </c>
      <c r="F39" s="72">
        <v>312.3</v>
      </c>
      <c r="G39" s="72" t="s">
        <v>29</v>
      </c>
      <c r="H39" s="73" t="s">
        <v>40</v>
      </c>
      <c r="I39" s="66"/>
      <c r="J39" s="66"/>
      <c r="K39" s="66"/>
      <c r="L39" s="62"/>
      <c r="M39" s="277"/>
      <c r="N39" s="67"/>
      <c r="O39" s="67"/>
      <c r="P39" s="67" t="s">
        <v>122</v>
      </c>
      <c r="Q39" s="67">
        <v>1</v>
      </c>
      <c r="R39" s="68" t="s">
        <v>110</v>
      </c>
      <c r="S39" s="67">
        <v>1091000</v>
      </c>
      <c r="T39" s="69">
        <v>1</v>
      </c>
      <c r="U39" s="67">
        <f t="shared" si="1"/>
        <v>1091000</v>
      </c>
      <c r="V39" s="67"/>
      <c r="W39" s="67"/>
      <c r="X39" s="67"/>
      <c r="Y39" s="67"/>
      <c r="Z39" s="81">
        <f t="shared" si="2"/>
        <v>1091000</v>
      </c>
      <c r="AA39" s="280"/>
      <c r="AB39" s="70"/>
    </row>
    <row r="40" spans="2:28" s="65" customFormat="1" ht="45.75" customHeight="1">
      <c r="B40" s="274"/>
      <c r="C40" s="220" t="s">
        <v>101</v>
      </c>
      <c r="D40" s="71" t="s">
        <v>102</v>
      </c>
      <c r="E40" s="71" t="s">
        <v>100</v>
      </c>
      <c r="F40" s="72">
        <v>312.3</v>
      </c>
      <c r="G40" s="72" t="s">
        <v>29</v>
      </c>
      <c r="H40" s="73" t="s">
        <v>40</v>
      </c>
      <c r="I40" s="66"/>
      <c r="J40" s="66"/>
      <c r="K40" s="66"/>
      <c r="L40" s="62"/>
      <c r="M40" s="277"/>
      <c r="N40" s="67"/>
      <c r="O40" s="67"/>
      <c r="P40" s="67" t="s">
        <v>256</v>
      </c>
      <c r="Q40" s="67">
        <v>5</v>
      </c>
      <c r="R40" s="68" t="s">
        <v>152</v>
      </c>
      <c r="S40" s="67">
        <v>87000</v>
      </c>
      <c r="T40" s="69">
        <v>1</v>
      </c>
      <c r="U40" s="67">
        <f t="shared" si="1"/>
        <v>435000</v>
      </c>
      <c r="V40" s="67"/>
      <c r="W40" s="67"/>
      <c r="X40" s="67"/>
      <c r="Y40" s="67"/>
      <c r="Z40" s="81">
        <f t="shared" si="2"/>
        <v>435000</v>
      </c>
      <c r="AA40" s="280"/>
      <c r="AB40" s="70"/>
    </row>
    <row r="41" spans="2:28" s="75" customFormat="1" ht="45.75" customHeight="1">
      <c r="B41" s="274"/>
      <c r="C41" s="180" t="s">
        <v>101</v>
      </c>
      <c r="D41" s="84" t="s">
        <v>102</v>
      </c>
      <c r="E41" s="84" t="s">
        <v>100</v>
      </c>
      <c r="F41" s="86">
        <v>312.3</v>
      </c>
      <c r="G41" s="86" t="s">
        <v>29</v>
      </c>
      <c r="H41" s="87" t="s">
        <v>40</v>
      </c>
      <c r="I41" s="80"/>
      <c r="J41" s="80"/>
      <c r="K41" s="80"/>
      <c r="L41" s="62"/>
      <c r="M41" s="277"/>
      <c r="N41" s="81"/>
      <c r="O41" s="81"/>
      <c r="P41" s="81" t="s">
        <v>215</v>
      </c>
      <c r="Q41" s="182">
        <f>31.8*1.2</f>
        <v>38.16</v>
      </c>
      <c r="R41" s="90" t="s">
        <v>175</v>
      </c>
      <c r="S41" s="81">
        <v>480000</v>
      </c>
      <c r="T41" s="82">
        <v>0.8</v>
      </c>
      <c r="U41" s="81">
        <f t="shared" si="1"/>
        <v>14653440</v>
      </c>
      <c r="V41" s="81"/>
      <c r="W41" s="81"/>
      <c r="X41" s="81"/>
      <c r="Y41" s="81"/>
      <c r="Z41" s="81">
        <f t="shared" si="2"/>
        <v>14653440</v>
      </c>
      <c r="AA41" s="280"/>
      <c r="AB41" s="91"/>
    </row>
    <row r="42" spans="2:28" s="75" customFormat="1" ht="45.75" customHeight="1">
      <c r="B42" s="275"/>
      <c r="C42" s="180" t="s">
        <v>101</v>
      </c>
      <c r="D42" s="84" t="s">
        <v>102</v>
      </c>
      <c r="E42" s="84" t="s">
        <v>100</v>
      </c>
      <c r="F42" s="86">
        <v>312.3</v>
      </c>
      <c r="G42" s="86" t="s">
        <v>29</v>
      </c>
      <c r="H42" s="87" t="s">
        <v>40</v>
      </c>
      <c r="I42" s="80"/>
      <c r="J42" s="80"/>
      <c r="K42" s="80"/>
      <c r="L42" s="62"/>
      <c r="M42" s="278"/>
      <c r="N42" s="81"/>
      <c r="O42" s="81"/>
      <c r="P42" s="81" t="s">
        <v>216</v>
      </c>
      <c r="Q42" s="182">
        <f>31.8*1.1</f>
        <v>34.980000000000004</v>
      </c>
      <c r="R42" s="90" t="s">
        <v>175</v>
      </c>
      <c r="S42" s="81">
        <v>290000</v>
      </c>
      <c r="T42" s="82">
        <v>0.8</v>
      </c>
      <c r="U42" s="81">
        <f t="shared" si="1"/>
        <v>8115360.000000002</v>
      </c>
      <c r="V42" s="81"/>
      <c r="W42" s="81"/>
      <c r="X42" s="81"/>
      <c r="Y42" s="81"/>
      <c r="Z42" s="81">
        <f t="shared" si="2"/>
        <v>8115360.000000002</v>
      </c>
      <c r="AA42" s="281"/>
      <c r="AB42" s="91"/>
    </row>
    <row r="43" spans="2:28" s="75" customFormat="1" ht="45.75" customHeight="1">
      <c r="B43" s="265">
        <v>3</v>
      </c>
      <c r="C43" s="85" t="s">
        <v>104</v>
      </c>
      <c r="D43" s="84" t="s">
        <v>105</v>
      </c>
      <c r="E43" s="84" t="s">
        <v>100</v>
      </c>
      <c r="F43" s="86">
        <v>696.1</v>
      </c>
      <c r="G43" s="86" t="s">
        <v>50</v>
      </c>
      <c r="H43" s="87" t="s">
        <v>40</v>
      </c>
      <c r="I43" s="80"/>
      <c r="J43" s="80">
        <v>594.4</v>
      </c>
      <c r="K43" s="80"/>
      <c r="L43" s="62">
        <f>I43+J43+K43</f>
        <v>594.4</v>
      </c>
      <c r="M43" s="276">
        <f>SUM(L43:L64)</f>
        <v>650.3</v>
      </c>
      <c r="N43" s="81">
        <v>55000</v>
      </c>
      <c r="O43" s="81">
        <f>L43*N43</f>
        <v>32692000</v>
      </c>
      <c r="P43" s="81" t="s">
        <v>219</v>
      </c>
      <c r="Q43" s="81">
        <v>2</v>
      </c>
      <c r="R43" s="90" t="s">
        <v>110</v>
      </c>
      <c r="S43" s="81">
        <v>1364000</v>
      </c>
      <c r="T43" s="82">
        <v>1</v>
      </c>
      <c r="U43" s="81">
        <f t="shared" si="1"/>
        <v>2728000</v>
      </c>
      <c r="V43" s="81">
        <f>L43*7000</f>
        <v>4160800</v>
      </c>
      <c r="W43" s="81">
        <f>L43*N43*3</f>
        <v>98076000</v>
      </c>
      <c r="X43" s="81"/>
      <c r="Y43" s="81"/>
      <c r="Z43" s="81">
        <f t="shared" si="2"/>
        <v>137656800</v>
      </c>
      <c r="AA43" s="279">
        <f>SUM(Z43:Z64)</f>
        <v>214004430</v>
      </c>
      <c r="AB43" s="91"/>
    </row>
    <row r="44" spans="2:28" s="75" customFormat="1" ht="45.75" customHeight="1">
      <c r="B44" s="266"/>
      <c r="C44" s="85" t="s">
        <v>104</v>
      </c>
      <c r="D44" s="84" t="s">
        <v>105</v>
      </c>
      <c r="E44" s="84" t="s">
        <v>100</v>
      </c>
      <c r="F44" s="86">
        <v>696.1</v>
      </c>
      <c r="G44" s="86" t="s">
        <v>50</v>
      </c>
      <c r="H44" s="87" t="s">
        <v>40</v>
      </c>
      <c r="I44" s="80"/>
      <c r="J44" s="80"/>
      <c r="K44" s="80"/>
      <c r="L44" s="62"/>
      <c r="M44" s="277"/>
      <c r="N44" s="81"/>
      <c r="O44" s="81"/>
      <c r="P44" s="81" t="s">
        <v>158</v>
      </c>
      <c r="Q44" s="81">
        <v>13</v>
      </c>
      <c r="R44" s="90" t="s">
        <v>110</v>
      </c>
      <c r="S44" s="81">
        <v>300000</v>
      </c>
      <c r="T44" s="82">
        <v>1</v>
      </c>
      <c r="U44" s="81">
        <f t="shared" si="1"/>
        <v>3900000</v>
      </c>
      <c r="V44" s="81"/>
      <c r="W44" s="81"/>
      <c r="X44" s="81"/>
      <c r="Y44" s="81"/>
      <c r="Z44" s="81">
        <f t="shared" si="2"/>
        <v>3900000</v>
      </c>
      <c r="AA44" s="280"/>
      <c r="AB44" s="91"/>
    </row>
    <row r="45" spans="2:28" s="75" customFormat="1" ht="45.75" customHeight="1">
      <c r="B45" s="266"/>
      <c r="C45" s="85" t="s">
        <v>104</v>
      </c>
      <c r="D45" s="84" t="s">
        <v>105</v>
      </c>
      <c r="E45" s="84" t="s">
        <v>100</v>
      </c>
      <c r="F45" s="86">
        <v>696.1</v>
      </c>
      <c r="G45" s="86" t="s">
        <v>50</v>
      </c>
      <c r="H45" s="87" t="s">
        <v>40</v>
      </c>
      <c r="I45" s="80"/>
      <c r="J45" s="80"/>
      <c r="K45" s="80"/>
      <c r="L45" s="62"/>
      <c r="M45" s="277"/>
      <c r="N45" s="81"/>
      <c r="O45" s="81"/>
      <c r="P45" s="81" t="s">
        <v>220</v>
      </c>
      <c r="Q45" s="81">
        <v>1</v>
      </c>
      <c r="R45" s="90" t="s">
        <v>110</v>
      </c>
      <c r="S45" s="81">
        <v>2864000</v>
      </c>
      <c r="T45" s="82">
        <v>1</v>
      </c>
      <c r="U45" s="81">
        <f t="shared" si="1"/>
        <v>2864000</v>
      </c>
      <c r="V45" s="81"/>
      <c r="W45" s="81"/>
      <c r="X45" s="81"/>
      <c r="Y45" s="81"/>
      <c r="Z45" s="81">
        <f t="shared" si="2"/>
        <v>2864000</v>
      </c>
      <c r="AA45" s="280"/>
      <c r="AB45" s="91"/>
    </row>
    <row r="46" spans="2:28" s="75" customFormat="1" ht="45.75" customHeight="1">
      <c r="B46" s="266"/>
      <c r="C46" s="85" t="s">
        <v>104</v>
      </c>
      <c r="D46" s="84" t="s">
        <v>105</v>
      </c>
      <c r="E46" s="84" t="s">
        <v>100</v>
      </c>
      <c r="F46" s="86">
        <v>696.1</v>
      </c>
      <c r="G46" s="86" t="s">
        <v>50</v>
      </c>
      <c r="H46" s="87" t="s">
        <v>40</v>
      </c>
      <c r="I46" s="80"/>
      <c r="J46" s="80"/>
      <c r="K46" s="80"/>
      <c r="L46" s="62"/>
      <c r="M46" s="277"/>
      <c r="N46" s="81"/>
      <c r="O46" s="81"/>
      <c r="P46" s="81" t="s">
        <v>155</v>
      </c>
      <c r="Q46" s="81">
        <v>2</v>
      </c>
      <c r="R46" s="90" t="s">
        <v>110</v>
      </c>
      <c r="S46" s="81">
        <v>320000</v>
      </c>
      <c r="T46" s="82">
        <v>1</v>
      </c>
      <c r="U46" s="81">
        <f t="shared" si="1"/>
        <v>640000</v>
      </c>
      <c r="V46" s="81"/>
      <c r="W46" s="81"/>
      <c r="X46" s="81"/>
      <c r="Y46" s="81"/>
      <c r="Z46" s="81">
        <f t="shared" si="2"/>
        <v>640000</v>
      </c>
      <c r="AA46" s="280"/>
      <c r="AB46" s="91"/>
    </row>
    <row r="47" spans="2:28" s="75" customFormat="1" ht="45.75" customHeight="1">
      <c r="B47" s="266"/>
      <c r="C47" s="85" t="s">
        <v>104</v>
      </c>
      <c r="D47" s="84" t="s">
        <v>105</v>
      </c>
      <c r="E47" s="84" t="s">
        <v>100</v>
      </c>
      <c r="F47" s="86">
        <v>696.1</v>
      </c>
      <c r="G47" s="86" t="s">
        <v>50</v>
      </c>
      <c r="H47" s="87" t="s">
        <v>40</v>
      </c>
      <c r="I47" s="80"/>
      <c r="J47" s="80"/>
      <c r="K47" s="80"/>
      <c r="L47" s="62"/>
      <c r="M47" s="277"/>
      <c r="N47" s="81"/>
      <c r="O47" s="81"/>
      <c r="P47" s="81" t="s">
        <v>231</v>
      </c>
      <c r="Q47" s="81">
        <v>1</v>
      </c>
      <c r="R47" s="90" t="s">
        <v>110</v>
      </c>
      <c r="S47" s="81">
        <v>555000</v>
      </c>
      <c r="T47" s="82">
        <v>1</v>
      </c>
      <c r="U47" s="81">
        <f t="shared" si="1"/>
        <v>555000</v>
      </c>
      <c r="V47" s="81"/>
      <c r="W47" s="81"/>
      <c r="X47" s="81"/>
      <c r="Y47" s="81"/>
      <c r="Z47" s="81">
        <f t="shared" si="2"/>
        <v>555000</v>
      </c>
      <c r="AA47" s="280"/>
      <c r="AB47" s="91"/>
    </row>
    <row r="48" spans="2:28" s="75" customFormat="1" ht="45.75" customHeight="1">
      <c r="B48" s="266"/>
      <c r="C48" s="85" t="s">
        <v>104</v>
      </c>
      <c r="D48" s="84" t="s">
        <v>105</v>
      </c>
      <c r="E48" s="84" t="s">
        <v>100</v>
      </c>
      <c r="F48" s="86">
        <v>696.1</v>
      </c>
      <c r="G48" s="86" t="s">
        <v>50</v>
      </c>
      <c r="H48" s="87" t="s">
        <v>40</v>
      </c>
      <c r="I48" s="80"/>
      <c r="J48" s="80"/>
      <c r="K48" s="80"/>
      <c r="L48" s="62"/>
      <c r="M48" s="277"/>
      <c r="N48" s="81"/>
      <c r="O48" s="81"/>
      <c r="P48" s="81" t="s">
        <v>221</v>
      </c>
      <c r="Q48" s="81">
        <v>1</v>
      </c>
      <c r="R48" s="90" t="s">
        <v>110</v>
      </c>
      <c r="S48" s="81">
        <v>845000</v>
      </c>
      <c r="T48" s="82">
        <v>1</v>
      </c>
      <c r="U48" s="81">
        <f t="shared" si="1"/>
        <v>845000</v>
      </c>
      <c r="V48" s="81"/>
      <c r="W48" s="81"/>
      <c r="X48" s="81"/>
      <c r="Y48" s="81"/>
      <c r="Z48" s="81">
        <f t="shared" si="2"/>
        <v>845000</v>
      </c>
      <c r="AA48" s="280"/>
      <c r="AB48" s="91"/>
    </row>
    <row r="49" spans="2:28" s="75" customFormat="1" ht="45.75" customHeight="1">
      <c r="B49" s="266"/>
      <c r="C49" s="85" t="s">
        <v>104</v>
      </c>
      <c r="D49" s="84" t="s">
        <v>105</v>
      </c>
      <c r="E49" s="84" t="s">
        <v>100</v>
      </c>
      <c r="F49" s="86">
        <v>696.1</v>
      </c>
      <c r="G49" s="86" t="s">
        <v>50</v>
      </c>
      <c r="H49" s="87" t="s">
        <v>40</v>
      </c>
      <c r="I49" s="80"/>
      <c r="J49" s="80"/>
      <c r="K49" s="80"/>
      <c r="L49" s="62"/>
      <c r="M49" s="277"/>
      <c r="N49" s="81"/>
      <c r="O49" s="81"/>
      <c r="P49" s="81" t="s">
        <v>226</v>
      </c>
      <c r="Q49" s="81">
        <v>3</v>
      </c>
      <c r="R49" s="90" t="s">
        <v>110</v>
      </c>
      <c r="S49" s="81">
        <v>345000</v>
      </c>
      <c r="T49" s="82">
        <v>1</v>
      </c>
      <c r="U49" s="81">
        <f t="shared" si="1"/>
        <v>1035000</v>
      </c>
      <c r="V49" s="81"/>
      <c r="W49" s="81"/>
      <c r="X49" s="81"/>
      <c r="Y49" s="81"/>
      <c r="Z49" s="81">
        <f t="shared" si="2"/>
        <v>1035000</v>
      </c>
      <c r="AA49" s="280"/>
      <c r="AB49" s="91"/>
    </row>
    <row r="50" spans="2:28" s="75" customFormat="1" ht="45.75" customHeight="1">
      <c r="B50" s="266"/>
      <c r="C50" s="85" t="s">
        <v>104</v>
      </c>
      <c r="D50" s="84" t="s">
        <v>105</v>
      </c>
      <c r="E50" s="84" t="s">
        <v>100</v>
      </c>
      <c r="F50" s="86">
        <v>696.1</v>
      </c>
      <c r="G50" s="86" t="s">
        <v>50</v>
      </c>
      <c r="H50" s="87" t="s">
        <v>40</v>
      </c>
      <c r="I50" s="80"/>
      <c r="J50" s="80"/>
      <c r="K50" s="80"/>
      <c r="L50" s="62"/>
      <c r="M50" s="277"/>
      <c r="N50" s="81"/>
      <c r="O50" s="81"/>
      <c r="P50" s="81" t="s">
        <v>127</v>
      </c>
      <c r="Q50" s="81">
        <v>1</v>
      </c>
      <c r="R50" s="90" t="s">
        <v>110</v>
      </c>
      <c r="S50" s="81">
        <v>325000</v>
      </c>
      <c r="T50" s="82">
        <v>1</v>
      </c>
      <c r="U50" s="81">
        <f t="shared" si="1"/>
        <v>325000</v>
      </c>
      <c r="V50" s="81"/>
      <c r="W50" s="81"/>
      <c r="X50" s="81"/>
      <c r="Y50" s="81"/>
      <c r="Z50" s="81">
        <f t="shared" si="2"/>
        <v>325000</v>
      </c>
      <c r="AA50" s="280"/>
      <c r="AB50" s="91"/>
    </row>
    <row r="51" spans="2:28" s="75" customFormat="1" ht="45.75" customHeight="1">
      <c r="B51" s="266"/>
      <c r="C51" s="85" t="s">
        <v>104</v>
      </c>
      <c r="D51" s="84" t="s">
        <v>105</v>
      </c>
      <c r="E51" s="84" t="s">
        <v>100</v>
      </c>
      <c r="F51" s="86">
        <v>696.1</v>
      </c>
      <c r="G51" s="86" t="s">
        <v>50</v>
      </c>
      <c r="H51" s="87" t="s">
        <v>40</v>
      </c>
      <c r="I51" s="80"/>
      <c r="J51" s="80"/>
      <c r="K51" s="80"/>
      <c r="L51" s="62"/>
      <c r="M51" s="277"/>
      <c r="N51" s="81"/>
      <c r="O51" s="81"/>
      <c r="P51" s="81" t="s">
        <v>227</v>
      </c>
      <c r="Q51" s="81">
        <v>1</v>
      </c>
      <c r="R51" s="90" t="s">
        <v>110</v>
      </c>
      <c r="S51" s="81">
        <v>94000</v>
      </c>
      <c r="T51" s="82">
        <v>1</v>
      </c>
      <c r="U51" s="81">
        <f t="shared" si="1"/>
        <v>94000</v>
      </c>
      <c r="V51" s="81"/>
      <c r="W51" s="81"/>
      <c r="X51" s="81"/>
      <c r="Y51" s="81"/>
      <c r="Z51" s="81">
        <f t="shared" si="2"/>
        <v>94000</v>
      </c>
      <c r="AA51" s="280"/>
      <c r="AB51" s="91"/>
    </row>
    <row r="52" spans="2:28" s="75" customFormat="1" ht="45.75" customHeight="1">
      <c r="B52" s="266"/>
      <c r="C52" s="85" t="s">
        <v>104</v>
      </c>
      <c r="D52" s="84" t="s">
        <v>105</v>
      </c>
      <c r="E52" s="84" t="s">
        <v>100</v>
      </c>
      <c r="F52" s="86">
        <v>696.1</v>
      </c>
      <c r="G52" s="86" t="s">
        <v>50</v>
      </c>
      <c r="H52" s="87" t="s">
        <v>40</v>
      </c>
      <c r="I52" s="80"/>
      <c r="J52" s="80"/>
      <c r="K52" s="80"/>
      <c r="L52" s="62"/>
      <c r="M52" s="277"/>
      <c r="N52" s="81"/>
      <c r="O52" s="81"/>
      <c r="P52" s="81" t="s">
        <v>228</v>
      </c>
      <c r="Q52" s="81">
        <v>50</v>
      </c>
      <c r="R52" s="90" t="s">
        <v>110</v>
      </c>
      <c r="S52" s="81">
        <v>65000</v>
      </c>
      <c r="T52" s="82">
        <v>1</v>
      </c>
      <c r="U52" s="81">
        <f t="shared" si="1"/>
        <v>3250000</v>
      </c>
      <c r="V52" s="81"/>
      <c r="W52" s="81"/>
      <c r="X52" s="81"/>
      <c r="Y52" s="81"/>
      <c r="Z52" s="81">
        <f t="shared" si="2"/>
        <v>3250000</v>
      </c>
      <c r="AA52" s="280"/>
      <c r="AB52" s="91"/>
    </row>
    <row r="53" spans="2:28" s="75" customFormat="1" ht="45.75" customHeight="1">
      <c r="B53" s="266"/>
      <c r="C53" s="85" t="s">
        <v>104</v>
      </c>
      <c r="D53" s="84" t="s">
        <v>105</v>
      </c>
      <c r="E53" s="84" t="s">
        <v>100</v>
      </c>
      <c r="F53" s="86">
        <v>696.1</v>
      </c>
      <c r="G53" s="86" t="s">
        <v>50</v>
      </c>
      <c r="H53" s="87" t="s">
        <v>40</v>
      </c>
      <c r="I53" s="80"/>
      <c r="J53" s="80"/>
      <c r="K53" s="80"/>
      <c r="L53" s="62"/>
      <c r="M53" s="277"/>
      <c r="N53" s="81"/>
      <c r="O53" s="81"/>
      <c r="P53" s="81" t="s">
        <v>150</v>
      </c>
      <c r="Q53" s="81">
        <v>6</v>
      </c>
      <c r="R53" s="90" t="s">
        <v>110</v>
      </c>
      <c r="S53" s="81">
        <v>107000</v>
      </c>
      <c r="T53" s="82">
        <v>1</v>
      </c>
      <c r="U53" s="81">
        <f t="shared" si="1"/>
        <v>642000</v>
      </c>
      <c r="V53" s="81"/>
      <c r="W53" s="81"/>
      <c r="X53" s="81"/>
      <c r="Y53" s="81"/>
      <c r="Z53" s="81">
        <f t="shared" si="2"/>
        <v>642000</v>
      </c>
      <c r="AA53" s="280"/>
      <c r="AB53" s="91"/>
    </row>
    <row r="54" spans="2:28" s="75" customFormat="1" ht="45.75" customHeight="1">
      <c r="B54" s="266"/>
      <c r="C54" s="85" t="s">
        <v>104</v>
      </c>
      <c r="D54" s="84" t="s">
        <v>105</v>
      </c>
      <c r="E54" s="84" t="s">
        <v>100</v>
      </c>
      <c r="F54" s="86">
        <v>696.1</v>
      </c>
      <c r="G54" s="86" t="s">
        <v>50</v>
      </c>
      <c r="H54" s="87" t="s">
        <v>40</v>
      </c>
      <c r="I54" s="80"/>
      <c r="J54" s="80"/>
      <c r="K54" s="80"/>
      <c r="L54" s="62"/>
      <c r="M54" s="277"/>
      <c r="N54" s="81"/>
      <c r="O54" s="81"/>
      <c r="P54" s="81" t="s">
        <v>146</v>
      </c>
      <c r="Q54" s="81">
        <v>20</v>
      </c>
      <c r="R54" s="90" t="s">
        <v>152</v>
      </c>
      <c r="S54" s="81">
        <v>87000</v>
      </c>
      <c r="T54" s="82">
        <v>1</v>
      </c>
      <c r="U54" s="81">
        <f t="shared" si="1"/>
        <v>1740000</v>
      </c>
      <c r="V54" s="81"/>
      <c r="W54" s="81"/>
      <c r="X54" s="81"/>
      <c r="Y54" s="81"/>
      <c r="Z54" s="81">
        <f t="shared" si="2"/>
        <v>1740000</v>
      </c>
      <c r="AA54" s="280"/>
      <c r="AB54" s="91"/>
    </row>
    <row r="55" spans="2:28" s="75" customFormat="1" ht="45.75" customHeight="1">
      <c r="B55" s="266"/>
      <c r="C55" s="85" t="s">
        <v>104</v>
      </c>
      <c r="D55" s="84" t="s">
        <v>105</v>
      </c>
      <c r="E55" s="84" t="s">
        <v>100</v>
      </c>
      <c r="F55" s="86">
        <v>696.1</v>
      </c>
      <c r="G55" s="86" t="s">
        <v>50</v>
      </c>
      <c r="H55" s="87" t="s">
        <v>40</v>
      </c>
      <c r="I55" s="80"/>
      <c r="J55" s="80"/>
      <c r="K55" s="80"/>
      <c r="L55" s="62"/>
      <c r="M55" s="277"/>
      <c r="N55" s="81"/>
      <c r="O55" s="81"/>
      <c r="P55" s="81" t="s">
        <v>222</v>
      </c>
      <c r="Q55" s="81">
        <v>1</v>
      </c>
      <c r="R55" s="90" t="s">
        <v>110</v>
      </c>
      <c r="S55" s="81">
        <v>555000</v>
      </c>
      <c r="T55" s="82">
        <v>1</v>
      </c>
      <c r="U55" s="81">
        <f t="shared" si="1"/>
        <v>555000</v>
      </c>
      <c r="V55" s="81"/>
      <c r="W55" s="81"/>
      <c r="X55" s="81"/>
      <c r="Y55" s="81"/>
      <c r="Z55" s="81">
        <f t="shared" si="2"/>
        <v>555000</v>
      </c>
      <c r="AA55" s="280"/>
      <c r="AB55" s="91"/>
    </row>
    <row r="56" spans="2:28" s="75" customFormat="1" ht="45.75" customHeight="1">
      <c r="B56" s="266"/>
      <c r="C56" s="85" t="s">
        <v>104</v>
      </c>
      <c r="D56" s="84" t="s">
        <v>105</v>
      </c>
      <c r="E56" s="84" t="s">
        <v>100</v>
      </c>
      <c r="F56" s="86">
        <v>696.1</v>
      </c>
      <c r="G56" s="86" t="s">
        <v>50</v>
      </c>
      <c r="H56" s="87" t="s">
        <v>40</v>
      </c>
      <c r="I56" s="80"/>
      <c r="J56" s="80"/>
      <c r="K56" s="80"/>
      <c r="L56" s="62"/>
      <c r="M56" s="277"/>
      <c r="N56" s="81"/>
      <c r="O56" s="81"/>
      <c r="P56" s="81" t="s">
        <v>223</v>
      </c>
      <c r="Q56" s="81">
        <v>2</v>
      </c>
      <c r="R56" s="90" t="s">
        <v>110</v>
      </c>
      <c r="S56" s="81">
        <v>485000</v>
      </c>
      <c r="T56" s="82">
        <v>1</v>
      </c>
      <c r="U56" s="81">
        <f t="shared" si="1"/>
        <v>970000</v>
      </c>
      <c r="V56" s="81"/>
      <c r="W56" s="81"/>
      <c r="X56" s="81"/>
      <c r="Y56" s="81"/>
      <c r="Z56" s="81">
        <f t="shared" si="2"/>
        <v>970000</v>
      </c>
      <c r="AA56" s="280"/>
      <c r="AB56" s="91"/>
    </row>
    <row r="57" spans="2:28" s="75" customFormat="1" ht="45.75" customHeight="1">
      <c r="B57" s="266"/>
      <c r="C57" s="85" t="s">
        <v>104</v>
      </c>
      <c r="D57" s="84" t="s">
        <v>105</v>
      </c>
      <c r="E57" s="84" t="s">
        <v>100</v>
      </c>
      <c r="F57" s="86">
        <v>696.1</v>
      </c>
      <c r="G57" s="86" t="s">
        <v>50</v>
      </c>
      <c r="H57" s="87" t="s">
        <v>40</v>
      </c>
      <c r="I57" s="80"/>
      <c r="J57" s="80"/>
      <c r="K57" s="80"/>
      <c r="L57" s="62"/>
      <c r="M57" s="277"/>
      <c r="N57" s="81"/>
      <c r="O57" s="81"/>
      <c r="P57" s="81" t="s">
        <v>224</v>
      </c>
      <c r="Q57" s="81">
        <v>1</v>
      </c>
      <c r="R57" s="90" t="s">
        <v>110</v>
      </c>
      <c r="S57" s="81">
        <v>235000</v>
      </c>
      <c r="T57" s="82">
        <v>1</v>
      </c>
      <c r="U57" s="81">
        <f t="shared" si="1"/>
        <v>235000</v>
      </c>
      <c r="V57" s="81"/>
      <c r="W57" s="81"/>
      <c r="X57" s="81"/>
      <c r="Y57" s="81"/>
      <c r="Z57" s="81">
        <f t="shared" si="2"/>
        <v>235000</v>
      </c>
      <c r="AA57" s="280"/>
      <c r="AB57" s="91"/>
    </row>
    <row r="58" spans="2:28" s="75" customFormat="1" ht="45.75" customHeight="1">
      <c r="B58" s="266"/>
      <c r="C58" s="85" t="s">
        <v>104</v>
      </c>
      <c r="D58" s="84" t="s">
        <v>105</v>
      </c>
      <c r="E58" s="84" t="s">
        <v>100</v>
      </c>
      <c r="F58" s="86">
        <v>696.1</v>
      </c>
      <c r="G58" s="86" t="s">
        <v>50</v>
      </c>
      <c r="H58" s="87" t="s">
        <v>40</v>
      </c>
      <c r="I58" s="80"/>
      <c r="J58" s="80"/>
      <c r="K58" s="80"/>
      <c r="L58" s="62"/>
      <c r="M58" s="277"/>
      <c r="N58" s="81"/>
      <c r="O58" s="81"/>
      <c r="P58" s="81" t="s">
        <v>225</v>
      </c>
      <c r="Q58" s="81">
        <v>1</v>
      </c>
      <c r="R58" s="90" t="s">
        <v>110</v>
      </c>
      <c r="S58" s="81">
        <v>340000</v>
      </c>
      <c r="T58" s="82">
        <v>1</v>
      </c>
      <c r="U58" s="81">
        <f t="shared" si="1"/>
        <v>340000</v>
      </c>
      <c r="V58" s="81"/>
      <c r="W58" s="81"/>
      <c r="X58" s="81"/>
      <c r="Y58" s="81"/>
      <c r="Z58" s="81">
        <f t="shared" si="2"/>
        <v>340000</v>
      </c>
      <c r="AA58" s="280"/>
      <c r="AB58" s="91"/>
    </row>
    <row r="59" spans="2:28" s="75" customFormat="1" ht="45.75" customHeight="1">
      <c r="B59" s="266"/>
      <c r="C59" s="85" t="s">
        <v>104</v>
      </c>
      <c r="D59" s="84" t="s">
        <v>105</v>
      </c>
      <c r="E59" s="84" t="s">
        <v>100</v>
      </c>
      <c r="F59" s="86">
        <v>696.1</v>
      </c>
      <c r="G59" s="86" t="s">
        <v>50</v>
      </c>
      <c r="H59" s="87" t="s">
        <v>40</v>
      </c>
      <c r="I59" s="80"/>
      <c r="J59" s="80"/>
      <c r="K59" s="80"/>
      <c r="L59" s="62"/>
      <c r="M59" s="277"/>
      <c r="N59" s="81"/>
      <c r="O59" s="81"/>
      <c r="P59" s="81" t="s">
        <v>229</v>
      </c>
      <c r="Q59" s="81">
        <v>5</v>
      </c>
      <c r="R59" s="90" t="s">
        <v>175</v>
      </c>
      <c r="S59" s="81">
        <v>23500</v>
      </c>
      <c r="T59" s="82">
        <v>1</v>
      </c>
      <c r="U59" s="81">
        <f t="shared" si="1"/>
        <v>117500</v>
      </c>
      <c r="V59" s="81"/>
      <c r="W59" s="81"/>
      <c r="X59" s="81"/>
      <c r="Y59" s="81"/>
      <c r="Z59" s="81">
        <f t="shared" si="2"/>
        <v>117500</v>
      </c>
      <c r="AA59" s="280"/>
      <c r="AB59" s="91"/>
    </row>
    <row r="60" spans="2:28" s="75" customFormat="1" ht="45.75" customHeight="1">
      <c r="B60" s="266"/>
      <c r="C60" s="85" t="s">
        <v>104</v>
      </c>
      <c r="D60" s="84" t="s">
        <v>105</v>
      </c>
      <c r="E60" s="84" t="s">
        <v>100</v>
      </c>
      <c r="F60" s="86">
        <v>696.1</v>
      </c>
      <c r="G60" s="86" t="s">
        <v>50</v>
      </c>
      <c r="H60" s="87" t="s">
        <v>40</v>
      </c>
      <c r="I60" s="80"/>
      <c r="J60" s="80"/>
      <c r="K60" s="80"/>
      <c r="L60" s="62"/>
      <c r="M60" s="277"/>
      <c r="N60" s="81"/>
      <c r="O60" s="81"/>
      <c r="P60" s="81" t="s">
        <v>294</v>
      </c>
      <c r="Q60" s="182">
        <f>18*11*0.07</f>
        <v>13.860000000000001</v>
      </c>
      <c r="R60" s="90" t="s">
        <v>205</v>
      </c>
      <c r="S60" s="81">
        <v>2110000</v>
      </c>
      <c r="T60" s="82">
        <v>0.8</v>
      </c>
      <c r="U60" s="81">
        <f t="shared" si="1"/>
        <v>23395680.000000004</v>
      </c>
      <c r="V60" s="81"/>
      <c r="W60" s="81"/>
      <c r="X60" s="81"/>
      <c r="Y60" s="81"/>
      <c r="Z60" s="81">
        <f t="shared" si="2"/>
        <v>23395680.000000004</v>
      </c>
      <c r="AA60" s="280"/>
      <c r="AB60" s="91" t="s">
        <v>230</v>
      </c>
    </row>
    <row r="61" spans="2:28" s="75" customFormat="1" ht="60.75" customHeight="1">
      <c r="B61" s="266"/>
      <c r="C61" s="85" t="s">
        <v>104</v>
      </c>
      <c r="D61" s="84" t="s">
        <v>105</v>
      </c>
      <c r="E61" s="84" t="s">
        <v>100</v>
      </c>
      <c r="F61" s="86">
        <v>696.1</v>
      </c>
      <c r="G61" s="86" t="s">
        <v>50</v>
      </c>
      <c r="H61" s="87" t="s">
        <v>40</v>
      </c>
      <c r="I61" s="80"/>
      <c r="J61" s="80"/>
      <c r="K61" s="80"/>
      <c r="L61" s="62"/>
      <c r="M61" s="277"/>
      <c r="N61" s="81"/>
      <c r="O61" s="81"/>
      <c r="P61" s="81" t="s">
        <v>217</v>
      </c>
      <c r="Q61" s="182">
        <f>38*0.5</f>
        <v>19</v>
      </c>
      <c r="R61" s="90" t="s">
        <v>175</v>
      </c>
      <c r="S61" s="81">
        <v>290000</v>
      </c>
      <c r="T61" s="82">
        <v>0.8</v>
      </c>
      <c r="U61" s="81">
        <f t="shared" si="1"/>
        <v>4408000</v>
      </c>
      <c r="V61" s="81"/>
      <c r="W61" s="81"/>
      <c r="X61" s="81"/>
      <c r="Y61" s="81"/>
      <c r="Z61" s="81">
        <f t="shared" si="2"/>
        <v>4408000</v>
      </c>
      <c r="AA61" s="280"/>
      <c r="AB61" s="91"/>
    </row>
    <row r="62" spans="2:28" s="75" customFormat="1" ht="87.75" customHeight="1">
      <c r="B62" s="266"/>
      <c r="C62" s="85" t="s">
        <v>104</v>
      </c>
      <c r="D62" s="84" t="s">
        <v>105</v>
      </c>
      <c r="E62" s="84" t="s">
        <v>100</v>
      </c>
      <c r="F62" s="86">
        <v>696.1</v>
      </c>
      <c r="G62" s="86" t="s">
        <v>50</v>
      </c>
      <c r="H62" s="87" t="s">
        <v>40</v>
      </c>
      <c r="I62" s="80"/>
      <c r="J62" s="80"/>
      <c r="K62" s="80"/>
      <c r="L62" s="62"/>
      <c r="M62" s="277"/>
      <c r="N62" s="81"/>
      <c r="O62" s="81"/>
      <c r="P62" s="81" t="s">
        <v>218</v>
      </c>
      <c r="Q62" s="182">
        <f>4.5*3.1</f>
        <v>13.950000000000001</v>
      </c>
      <c r="R62" s="183" t="s">
        <v>164</v>
      </c>
      <c r="S62" s="81">
        <v>940000</v>
      </c>
      <c r="T62" s="82">
        <v>0.8</v>
      </c>
      <c r="U62" s="81">
        <f t="shared" si="1"/>
        <v>10490400.000000002</v>
      </c>
      <c r="V62" s="81"/>
      <c r="W62" s="81"/>
      <c r="X62" s="81"/>
      <c r="Y62" s="81"/>
      <c r="Z62" s="81">
        <f t="shared" si="2"/>
        <v>10490400.000000002</v>
      </c>
      <c r="AA62" s="280"/>
      <c r="AB62" s="91" t="s">
        <v>232</v>
      </c>
    </row>
    <row r="63" spans="2:28" s="65" customFormat="1" ht="40.5" customHeight="1">
      <c r="B63" s="266"/>
      <c r="C63" s="74" t="s">
        <v>104</v>
      </c>
      <c r="D63" s="71" t="s">
        <v>105</v>
      </c>
      <c r="E63" s="71" t="s">
        <v>100</v>
      </c>
      <c r="F63" s="72">
        <v>696.1</v>
      </c>
      <c r="G63" s="72" t="s">
        <v>50</v>
      </c>
      <c r="H63" s="73" t="s">
        <v>40</v>
      </c>
      <c r="I63" s="66"/>
      <c r="J63" s="66"/>
      <c r="K63" s="66"/>
      <c r="L63" s="62"/>
      <c r="M63" s="277"/>
      <c r="N63" s="67"/>
      <c r="O63" s="67"/>
      <c r="P63" s="67" t="s">
        <v>268</v>
      </c>
      <c r="Q63" s="186">
        <f>2*20</f>
        <v>40</v>
      </c>
      <c r="R63" s="223" t="s">
        <v>169</v>
      </c>
      <c r="S63" s="67">
        <v>170000</v>
      </c>
      <c r="T63" s="69">
        <v>0.8</v>
      </c>
      <c r="U63" s="67">
        <f t="shared" si="1"/>
        <v>5440000</v>
      </c>
      <c r="V63" s="67"/>
      <c r="W63" s="67"/>
      <c r="X63" s="67"/>
      <c r="Y63" s="67"/>
      <c r="Z63" s="81">
        <f t="shared" si="2"/>
        <v>5440000</v>
      </c>
      <c r="AA63" s="280"/>
      <c r="AB63" s="70"/>
    </row>
    <row r="64" spans="2:28" s="75" customFormat="1" ht="45.75" customHeight="1">
      <c r="B64" s="267"/>
      <c r="C64" s="85" t="s">
        <v>104</v>
      </c>
      <c r="D64" s="84" t="s">
        <v>53</v>
      </c>
      <c r="E64" s="84" t="s">
        <v>39</v>
      </c>
      <c r="F64" s="86">
        <v>130.9</v>
      </c>
      <c r="G64" s="86" t="s">
        <v>29</v>
      </c>
      <c r="H64" s="87" t="s">
        <v>40</v>
      </c>
      <c r="I64" s="80">
        <v>55.9</v>
      </c>
      <c r="J64" s="80"/>
      <c r="K64" s="80"/>
      <c r="L64" s="62">
        <f>I64+J64+K64</f>
        <v>55.9</v>
      </c>
      <c r="M64" s="278"/>
      <c r="N64" s="81">
        <v>60000</v>
      </c>
      <c r="O64" s="81">
        <f>L64*N64</f>
        <v>3354000</v>
      </c>
      <c r="P64" s="81" t="s">
        <v>6</v>
      </c>
      <c r="Q64" s="80">
        <f>L64</f>
        <v>55.9</v>
      </c>
      <c r="R64" s="90" t="s">
        <v>246</v>
      </c>
      <c r="S64" s="81">
        <v>9500</v>
      </c>
      <c r="T64" s="82">
        <v>1</v>
      </c>
      <c r="U64" s="81">
        <f t="shared" si="1"/>
        <v>531050</v>
      </c>
      <c r="V64" s="81">
        <f>L64*10000</f>
        <v>559000</v>
      </c>
      <c r="W64" s="81">
        <f>L64*N64*3</f>
        <v>10062000</v>
      </c>
      <c r="X64" s="81"/>
      <c r="Y64" s="81"/>
      <c r="Z64" s="81">
        <f t="shared" si="2"/>
        <v>14506050</v>
      </c>
      <c r="AA64" s="281"/>
      <c r="AB64" s="91"/>
    </row>
    <row r="65" spans="2:28" s="75" customFormat="1" ht="45.75" customHeight="1">
      <c r="B65" s="265">
        <v>4</v>
      </c>
      <c r="C65" s="85" t="s">
        <v>106</v>
      </c>
      <c r="D65" s="84" t="s">
        <v>107</v>
      </c>
      <c r="E65" s="84" t="s">
        <v>100</v>
      </c>
      <c r="F65" s="86">
        <v>243.4</v>
      </c>
      <c r="G65" s="86" t="s">
        <v>29</v>
      </c>
      <c r="H65" s="87" t="s">
        <v>40</v>
      </c>
      <c r="I65" s="80"/>
      <c r="J65" s="80">
        <v>243.4</v>
      </c>
      <c r="K65" s="80"/>
      <c r="L65" s="62">
        <f>I65+J65+K65</f>
        <v>243.4</v>
      </c>
      <c r="M65" s="276">
        <f>SUM(L65:L75)</f>
        <v>243.4</v>
      </c>
      <c r="N65" s="81">
        <v>55000</v>
      </c>
      <c r="O65" s="81">
        <f>L65*N65</f>
        <v>13387000</v>
      </c>
      <c r="P65" s="81" t="s">
        <v>153</v>
      </c>
      <c r="Q65" s="81">
        <v>1</v>
      </c>
      <c r="R65" s="90" t="s">
        <v>110</v>
      </c>
      <c r="S65" s="81">
        <v>1150000</v>
      </c>
      <c r="T65" s="82">
        <v>1</v>
      </c>
      <c r="U65" s="81">
        <f t="shared" si="1"/>
        <v>1150000</v>
      </c>
      <c r="V65" s="81">
        <f>L65*7000</f>
        <v>1703800</v>
      </c>
      <c r="W65" s="81">
        <f>L65*N65*3</f>
        <v>40161000</v>
      </c>
      <c r="X65" s="81"/>
      <c r="Y65" s="81"/>
      <c r="Z65" s="81">
        <f t="shared" si="2"/>
        <v>56401800</v>
      </c>
      <c r="AA65" s="279">
        <f>SUM(Z65:Z75)</f>
        <v>82391400</v>
      </c>
      <c r="AB65" s="91"/>
    </row>
    <row r="66" spans="2:28" s="75" customFormat="1" ht="45.75" customHeight="1">
      <c r="B66" s="266"/>
      <c r="C66" s="85" t="s">
        <v>106</v>
      </c>
      <c r="D66" s="84" t="s">
        <v>107</v>
      </c>
      <c r="E66" s="84" t="s">
        <v>100</v>
      </c>
      <c r="F66" s="86">
        <v>243.4</v>
      </c>
      <c r="G66" s="86" t="s">
        <v>29</v>
      </c>
      <c r="H66" s="87" t="s">
        <v>40</v>
      </c>
      <c r="I66" s="80"/>
      <c r="J66" s="80"/>
      <c r="K66" s="80"/>
      <c r="L66" s="62"/>
      <c r="M66" s="277"/>
      <c r="N66" s="81"/>
      <c r="O66" s="81"/>
      <c r="P66" s="81" t="s">
        <v>235</v>
      </c>
      <c r="Q66" s="81">
        <v>2</v>
      </c>
      <c r="R66" s="90" t="s">
        <v>110</v>
      </c>
      <c r="S66" s="81">
        <v>640000</v>
      </c>
      <c r="T66" s="82">
        <v>1</v>
      </c>
      <c r="U66" s="81">
        <f t="shared" si="1"/>
        <v>1280000</v>
      </c>
      <c r="V66" s="81"/>
      <c r="W66" s="81"/>
      <c r="X66" s="81"/>
      <c r="Y66" s="81"/>
      <c r="Z66" s="81">
        <f t="shared" si="2"/>
        <v>1280000</v>
      </c>
      <c r="AA66" s="280"/>
      <c r="AB66" s="91"/>
    </row>
    <row r="67" spans="2:28" s="75" customFormat="1" ht="45.75" customHeight="1">
      <c r="B67" s="266"/>
      <c r="C67" s="85" t="s">
        <v>106</v>
      </c>
      <c r="D67" s="84" t="s">
        <v>107</v>
      </c>
      <c r="E67" s="84" t="s">
        <v>100</v>
      </c>
      <c r="F67" s="86">
        <v>243.4</v>
      </c>
      <c r="G67" s="86" t="s">
        <v>29</v>
      </c>
      <c r="H67" s="87" t="s">
        <v>40</v>
      </c>
      <c r="I67" s="80"/>
      <c r="J67" s="80"/>
      <c r="K67" s="80"/>
      <c r="L67" s="62"/>
      <c r="M67" s="277"/>
      <c r="N67" s="81"/>
      <c r="O67" s="81"/>
      <c r="P67" s="81" t="s">
        <v>163</v>
      </c>
      <c r="Q67" s="81">
        <v>4</v>
      </c>
      <c r="R67" s="90" t="s">
        <v>110</v>
      </c>
      <c r="S67" s="81">
        <v>1559000</v>
      </c>
      <c r="T67" s="82">
        <v>1</v>
      </c>
      <c r="U67" s="81">
        <f t="shared" si="1"/>
        <v>6236000</v>
      </c>
      <c r="V67" s="81"/>
      <c r="W67" s="81"/>
      <c r="X67" s="81"/>
      <c r="Y67" s="81"/>
      <c r="Z67" s="81">
        <f t="shared" si="2"/>
        <v>6236000</v>
      </c>
      <c r="AA67" s="280"/>
      <c r="AB67" s="91"/>
    </row>
    <row r="68" spans="2:28" s="75" customFormat="1" ht="45.75" customHeight="1">
      <c r="B68" s="266"/>
      <c r="C68" s="85" t="s">
        <v>106</v>
      </c>
      <c r="D68" s="84" t="s">
        <v>107</v>
      </c>
      <c r="E68" s="84" t="s">
        <v>100</v>
      </c>
      <c r="F68" s="86">
        <v>243.4</v>
      </c>
      <c r="G68" s="86" t="s">
        <v>29</v>
      </c>
      <c r="H68" s="87" t="s">
        <v>40</v>
      </c>
      <c r="I68" s="80"/>
      <c r="J68" s="80"/>
      <c r="K68" s="80"/>
      <c r="L68" s="62"/>
      <c r="M68" s="277"/>
      <c r="N68" s="81"/>
      <c r="O68" s="81"/>
      <c r="P68" s="81" t="s">
        <v>214</v>
      </c>
      <c r="Q68" s="81">
        <v>1</v>
      </c>
      <c r="R68" s="90" t="s">
        <v>110</v>
      </c>
      <c r="S68" s="81">
        <v>320000</v>
      </c>
      <c r="T68" s="82">
        <v>1</v>
      </c>
      <c r="U68" s="81">
        <f t="shared" si="1"/>
        <v>320000</v>
      </c>
      <c r="V68" s="81"/>
      <c r="W68" s="81"/>
      <c r="X68" s="81"/>
      <c r="Y68" s="81"/>
      <c r="Z68" s="81">
        <f t="shared" si="2"/>
        <v>320000</v>
      </c>
      <c r="AA68" s="280"/>
      <c r="AB68" s="91"/>
    </row>
    <row r="69" spans="2:28" s="75" customFormat="1" ht="45.75" customHeight="1">
      <c r="B69" s="266"/>
      <c r="C69" s="85" t="s">
        <v>106</v>
      </c>
      <c r="D69" s="84" t="s">
        <v>107</v>
      </c>
      <c r="E69" s="84" t="s">
        <v>100</v>
      </c>
      <c r="F69" s="86">
        <v>243.4</v>
      </c>
      <c r="G69" s="86" t="s">
        <v>29</v>
      </c>
      <c r="H69" s="87" t="s">
        <v>40</v>
      </c>
      <c r="I69" s="80"/>
      <c r="J69" s="80"/>
      <c r="K69" s="80"/>
      <c r="L69" s="62"/>
      <c r="M69" s="277"/>
      <c r="N69" s="81"/>
      <c r="O69" s="81"/>
      <c r="P69" s="81" t="s">
        <v>126</v>
      </c>
      <c r="Q69" s="81">
        <v>3</v>
      </c>
      <c r="R69" s="90" t="s">
        <v>110</v>
      </c>
      <c r="S69" s="81">
        <v>470000</v>
      </c>
      <c r="T69" s="82">
        <v>1</v>
      </c>
      <c r="U69" s="81">
        <f t="shared" si="1"/>
        <v>1410000</v>
      </c>
      <c r="V69" s="81"/>
      <c r="W69" s="81"/>
      <c r="X69" s="81"/>
      <c r="Y69" s="81"/>
      <c r="Z69" s="81">
        <f t="shared" si="2"/>
        <v>1410000</v>
      </c>
      <c r="AA69" s="280"/>
      <c r="AB69" s="91"/>
    </row>
    <row r="70" spans="2:28" s="75" customFormat="1" ht="45.75" customHeight="1">
      <c r="B70" s="266"/>
      <c r="C70" s="85" t="s">
        <v>106</v>
      </c>
      <c r="D70" s="84" t="s">
        <v>107</v>
      </c>
      <c r="E70" s="84" t="s">
        <v>100</v>
      </c>
      <c r="F70" s="86">
        <v>243.4</v>
      </c>
      <c r="G70" s="86" t="s">
        <v>29</v>
      </c>
      <c r="H70" s="87" t="s">
        <v>40</v>
      </c>
      <c r="I70" s="80"/>
      <c r="J70" s="80"/>
      <c r="K70" s="80"/>
      <c r="L70" s="62"/>
      <c r="M70" s="277"/>
      <c r="N70" s="81"/>
      <c r="O70" s="81"/>
      <c r="P70" s="81" t="s">
        <v>224</v>
      </c>
      <c r="Q70" s="81">
        <v>1</v>
      </c>
      <c r="R70" s="90" t="s">
        <v>110</v>
      </c>
      <c r="S70" s="81">
        <v>235000</v>
      </c>
      <c r="T70" s="82">
        <v>1</v>
      </c>
      <c r="U70" s="81">
        <f t="shared" si="1"/>
        <v>235000</v>
      </c>
      <c r="V70" s="81"/>
      <c r="W70" s="81"/>
      <c r="X70" s="81"/>
      <c r="Y70" s="81"/>
      <c r="Z70" s="81">
        <f t="shared" si="2"/>
        <v>235000</v>
      </c>
      <c r="AA70" s="280"/>
      <c r="AB70" s="91"/>
    </row>
    <row r="71" spans="2:28" s="75" customFormat="1" ht="45.75" customHeight="1">
      <c r="B71" s="266"/>
      <c r="C71" s="85" t="s">
        <v>106</v>
      </c>
      <c r="D71" s="84" t="s">
        <v>107</v>
      </c>
      <c r="E71" s="84" t="s">
        <v>100</v>
      </c>
      <c r="F71" s="86">
        <v>243.4</v>
      </c>
      <c r="G71" s="86" t="s">
        <v>29</v>
      </c>
      <c r="H71" s="87" t="s">
        <v>40</v>
      </c>
      <c r="I71" s="80"/>
      <c r="J71" s="80"/>
      <c r="K71" s="80"/>
      <c r="L71" s="62"/>
      <c r="M71" s="277"/>
      <c r="N71" s="81"/>
      <c r="O71" s="81"/>
      <c r="P71" s="81" t="s">
        <v>150</v>
      </c>
      <c r="Q71" s="81">
        <v>3</v>
      </c>
      <c r="R71" s="90" t="s">
        <v>110</v>
      </c>
      <c r="S71" s="81">
        <v>107000</v>
      </c>
      <c r="T71" s="82">
        <v>1</v>
      </c>
      <c r="U71" s="81">
        <f t="shared" si="1"/>
        <v>321000</v>
      </c>
      <c r="V71" s="81"/>
      <c r="W71" s="81"/>
      <c r="X71" s="81"/>
      <c r="Y71" s="81"/>
      <c r="Z71" s="81">
        <f t="shared" si="2"/>
        <v>321000</v>
      </c>
      <c r="AA71" s="280"/>
      <c r="AB71" s="91"/>
    </row>
    <row r="72" spans="2:28" s="75" customFormat="1" ht="45.75" customHeight="1">
      <c r="B72" s="266"/>
      <c r="C72" s="85" t="s">
        <v>106</v>
      </c>
      <c r="D72" s="84" t="s">
        <v>107</v>
      </c>
      <c r="E72" s="84" t="s">
        <v>100</v>
      </c>
      <c r="F72" s="86">
        <v>243.4</v>
      </c>
      <c r="G72" s="86" t="s">
        <v>29</v>
      </c>
      <c r="H72" s="87" t="s">
        <v>40</v>
      </c>
      <c r="I72" s="80"/>
      <c r="J72" s="80"/>
      <c r="K72" s="80"/>
      <c r="L72" s="62"/>
      <c r="M72" s="277"/>
      <c r="N72" s="81"/>
      <c r="O72" s="81"/>
      <c r="P72" s="81" t="s">
        <v>173</v>
      </c>
      <c r="Q72" s="81">
        <v>1</v>
      </c>
      <c r="R72" s="90" t="s">
        <v>110</v>
      </c>
      <c r="S72" s="81">
        <v>319000</v>
      </c>
      <c r="T72" s="82">
        <v>1</v>
      </c>
      <c r="U72" s="81">
        <f t="shared" si="1"/>
        <v>319000</v>
      </c>
      <c r="V72" s="81"/>
      <c r="W72" s="81"/>
      <c r="X72" s="81"/>
      <c r="Y72" s="81"/>
      <c r="Z72" s="81">
        <f t="shared" si="2"/>
        <v>319000</v>
      </c>
      <c r="AA72" s="280"/>
      <c r="AB72" s="91"/>
    </row>
    <row r="73" spans="2:28" s="75" customFormat="1" ht="45.75" customHeight="1">
      <c r="B73" s="266"/>
      <c r="C73" s="85" t="s">
        <v>106</v>
      </c>
      <c r="D73" s="84" t="s">
        <v>107</v>
      </c>
      <c r="E73" s="84" t="s">
        <v>100</v>
      </c>
      <c r="F73" s="86">
        <v>243.4</v>
      </c>
      <c r="G73" s="86" t="s">
        <v>29</v>
      </c>
      <c r="H73" s="87" t="s">
        <v>40</v>
      </c>
      <c r="I73" s="80"/>
      <c r="J73" s="80"/>
      <c r="K73" s="80"/>
      <c r="L73" s="62"/>
      <c r="M73" s="277"/>
      <c r="N73" s="81"/>
      <c r="O73" s="81"/>
      <c r="P73" s="81" t="s">
        <v>295</v>
      </c>
      <c r="Q73" s="80">
        <v>2</v>
      </c>
      <c r="R73" s="90" t="s">
        <v>175</v>
      </c>
      <c r="S73" s="81">
        <v>58300</v>
      </c>
      <c r="T73" s="82">
        <v>1</v>
      </c>
      <c r="U73" s="81">
        <f t="shared" si="1"/>
        <v>116600</v>
      </c>
      <c r="V73" s="81"/>
      <c r="W73" s="81"/>
      <c r="X73" s="81"/>
      <c r="Y73" s="81"/>
      <c r="Z73" s="81">
        <f t="shared" si="2"/>
        <v>116600</v>
      </c>
      <c r="AA73" s="280"/>
      <c r="AB73" s="91"/>
    </row>
    <row r="74" spans="2:28" s="75" customFormat="1" ht="45.75" customHeight="1">
      <c r="B74" s="266"/>
      <c r="C74" s="85" t="s">
        <v>106</v>
      </c>
      <c r="D74" s="84" t="s">
        <v>107</v>
      </c>
      <c r="E74" s="84" t="s">
        <v>100</v>
      </c>
      <c r="F74" s="86">
        <v>243.4</v>
      </c>
      <c r="G74" s="86" t="s">
        <v>29</v>
      </c>
      <c r="H74" s="87" t="s">
        <v>40</v>
      </c>
      <c r="I74" s="80"/>
      <c r="J74" s="80"/>
      <c r="K74" s="80"/>
      <c r="L74" s="62"/>
      <c r="M74" s="277"/>
      <c r="N74" s="81"/>
      <c r="O74" s="81"/>
      <c r="P74" s="81" t="s">
        <v>233</v>
      </c>
      <c r="Q74" s="80">
        <v>2</v>
      </c>
      <c r="R74" s="90" t="s">
        <v>175</v>
      </c>
      <c r="S74" s="81">
        <v>136000</v>
      </c>
      <c r="T74" s="82">
        <v>1</v>
      </c>
      <c r="U74" s="81">
        <f aca="true" t="shared" si="3" ref="U74:U112">Q74*S74*T74</f>
        <v>272000</v>
      </c>
      <c r="V74" s="81"/>
      <c r="W74" s="81"/>
      <c r="X74" s="81"/>
      <c r="Y74" s="81"/>
      <c r="Z74" s="81">
        <f t="shared" si="2"/>
        <v>272000</v>
      </c>
      <c r="AA74" s="280"/>
      <c r="AB74" s="91"/>
    </row>
    <row r="75" spans="2:28" s="75" customFormat="1" ht="45.75" customHeight="1">
      <c r="B75" s="267"/>
      <c r="C75" s="85" t="s">
        <v>106</v>
      </c>
      <c r="D75" s="84" t="s">
        <v>107</v>
      </c>
      <c r="E75" s="84" t="s">
        <v>100</v>
      </c>
      <c r="F75" s="86">
        <v>243.4</v>
      </c>
      <c r="G75" s="86" t="s">
        <v>29</v>
      </c>
      <c r="H75" s="87" t="s">
        <v>40</v>
      </c>
      <c r="I75" s="80"/>
      <c r="J75" s="80"/>
      <c r="K75" s="80"/>
      <c r="L75" s="62"/>
      <c r="M75" s="278"/>
      <c r="N75" s="81"/>
      <c r="O75" s="81"/>
      <c r="P75" s="81" t="s">
        <v>234</v>
      </c>
      <c r="Q75" s="182">
        <f>30*1.5</f>
        <v>45</v>
      </c>
      <c r="R75" s="90" t="s">
        <v>175</v>
      </c>
      <c r="S75" s="81">
        <v>430000</v>
      </c>
      <c r="T75" s="82">
        <v>0.8</v>
      </c>
      <c r="U75" s="81">
        <f t="shared" si="3"/>
        <v>15480000</v>
      </c>
      <c r="V75" s="81"/>
      <c r="W75" s="81"/>
      <c r="X75" s="81"/>
      <c r="Y75" s="81"/>
      <c r="Z75" s="81">
        <f t="shared" si="2"/>
        <v>15480000</v>
      </c>
      <c r="AA75" s="281"/>
      <c r="AB75" s="91"/>
    </row>
    <row r="76" spans="2:28" s="75" customFormat="1" ht="45.75" customHeight="1">
      <c r="B76" s="76">
        <v>5</v>
      </c>
      <c r="C76" s="77" t="s">
        <v>41</v>
      </c>
      <c r="D76" s="76" t="s">
        <v>138</v>
      </c>
      <c r="E76" s="76" t="s">
        <v>39</v>
      </c>
      <c r="F76" s="78">
        <v>33.5</v>
      </c>
      <c r="G76" s="78" t="s">
        <v>29</v>
      </c>
      <c r="H76" s="79" t="s">
        <v>40</v>
      </c>
      <c r="I76" s="78"/>
      <c r="J76" s="80">
        <v>33.5</v>
      </c>
      <c r="K76" s="80"/>
      <c r="L76" s="62">
        <f>I76+J76+K76</f>
        <v>33.5</v>
      </c>
      <c r="M76" s="184">
        <f>L76</f>
        <v>33.5</v>
      </c>
      <c r="N76" s="81">
        <v>55000</v>
      </c>
      <c r="O76" s="81">
        <f>L76*N76</f>
        <v>1842500</v>
      </c>
      <c r="P76" s="81" t="s">
        <v>109</v>
      </c>
      <c r="Q76" s="81">
        <v>6</v>
      </c>
      <c r="R76" s="90" t="s">
        <v>111</v>
      </c>
      <c r="S76" s="81">
        <v>163000</v>
      </c>
      <c r="T76" s="82">
        <v>1</v>
      </c>
      <c r="U76" s="81">
        <f t="shared" si="3"/>
        <v>978000</v>
      </c>
      <c r="V76" s="81">
        <f>L76*7000</f>
        <v>234500</v>
      </c>
      <c r="W76" s="81">
        <f>L76*N76*3</f>
        <v>5527500</v>
      </c>
      <c r="X76" s="81"/>
      <c r="Y76" s="81"/>
      <c r="Z76" s="81">
        <f aca="true" t="shared" si="4" ref="Z76:Z139">O76+U76+V76+W76+Y76</f>
        <v>8582500</v>
      </c>
      <c r="AA76" s="83">
        <f>Z76</f>
        <v>8582500</v>
      </c>
      <c r="AB76" s="91"/>
    </row>
    <row r="77" spans="2:28" s="75" customFormat="1" ht="45.75" customHeight="1">
      <c r="B77" s="84">
        <v>6</v>
      </c>
      <c r="C77" s="85" t="s">
        <v>144</v>
      </c>
      <c r="D77" s="84" t="s">
        <v>139</v>
      </c>
      <c r="E77" s="84" t="s">
        <v>39</v>
      </c>
      <c r="F77" s="86">
        <v>94.3</v>
      </c>
      <c r="G77" s="86" t="s">
        <v>29</v>
      </c>
      <c r="H77" s="87" t="s">
        <v>40</v>
      </c>
      <c r="I77" s="86">
        <v>94.3</v>
      </c>
      <c r="J77" s="80"/>
      <c r="K77" s="80"/>
      <c r="L77" s="62">
        <f>I77+J77+K77</f>
        <v>94.3</v>
      </c>
      <c r="M77" s="184">
        <f>L77</f>
        <v>94.3</v>
      </c>
      <c r="N77" s="81">
        <v>60000</v>
      </c>
      <c r="O77" s="81">
        <f>L77*N77</f>
        <v>5658000</v>
      </c>
      <c r="P77" s="81" t="s">
        <v>6</v>
      </c>
      <c r="Q77" s="80">
        <f>L77</f>
        <v>94.3</v>
      </c>
      <c r="R77" s="90" t="s">
        <v>246</v>
      </c>
      <c r="S77" s="81">
        <v>9500</v>
      </c>
      <c r="T77" s="82">
        <v>1</v>
      </c>
      <c r="U77" s="81">
        <f t="shared" si="3"/>
        <v>895850</v>
      </c>
      <c r="V77" s="81">
        <f>L77*10000</f>
        <v>943000</v>
      </c>
      <c r="W77" s="81">
        <f>L77*N77*3</f>
        <v>16974000</v>
      </c>
      <c r="X77" s="81"/>
      <c r="Y77" s="81"/>
      <c r="Z77" s="81">
        <f t="shared" si="4"/>
        <v>24470850</v>
      </c>
      <c r="AA77" s="83">
        <f>Z77</f>
        <v>24470850</v>
      </c>
      <c r="AB77" s="91"/>
    </row>
    <row r="78" spans="2:28" s="75" customFormat="1" ht="102.75" customHeight="1">
      <c r="B78" s="268">
        <v>7</v>
      </c>
      <c r="C78" s="77" t="s">
        <v>143</v>
      </c>
      <c r="D78" s="76">
        <v>283</v>
      </c>
      <c r="E78" s="76">
        <v>5</v>
      </c>
      <c r="F78" s="78">
        <v>316.5</v>
      </c>
      <c r="G78" s="78" t="s">
        <v>1</v>
      </c>
      <c r="H78" s="79" t="s">
        <v>40</v>
      </c>
      <c r="I78" s="80"/>
      <c r="J78" s="80">
        <v>44.1</v>
      </c>
      <c r="K78" s="80"/>
      <c r="L78" s="62">
        <f>I78+J78+K78</f>
        <v>44.1</v>
      </c>
      <c r="M78" s="276">
        <f>L78</f>
        <v>44.1</v>
      </c>
      <c r="N78" s="81">
        <v>55000</v>
      </c>
      <c r="O78" s="81">
        <f>L78*N78</f>
        <v>2425500</v>
      </c>
      <c r="P78" s="81" t="s">
        <v>253</v>
      </c>
      <c r="Q78" s="182">
        <f>6.3*5.2</f>
        <v>32.76</v>
      </c>
      <c r="R78" s="183" t="s">
        <v>164</v>
      </c>
      <c r="S78" s="81">
        <v>890000</v>
      </c>
      <c r="T78" s="82">
        <v>0.8</v>
      </c>
      <c r="U78" s="81">
        <f t="shared" si="3"/>
        <v>23325120</v>
      </c>
      <c r="V78" s="81">
        <f>L78*7000</f>
        <v>308700</v>
      </c>
      <c r="W78" s="81">
        <f>L78*N78*3</f>
        <v>7276500</v>
      </c>
      <c r="X78" s="81"/>
      <c r="Y78" s="81"/>
      <c r="Z78" s="81">
        <f t="shared" si="4"/>
        <v>33335820</v>
      </c>
      <c r="AA78" s="83">
        <f>Z78</f>
        <v>33335820</v>
      </c>
      <c r="AB78" s="91" t="s">
        <v>208</v>
      </c>
    </row>
    <row r="79" spans="2:28" s="65" customFormat="1" ht="83.25" customHeight="1">
      <c r="B79" s="270"/>
      <c r="C79" s="74" t="s">
        <v>143</v>
      </c>
      <c r="D79" s="71">
        <v>283</v>
      </c>
      <c r="E79" s="71">
        <v>5</v>
      </c>
      <c r="F79" s="72">
        <v>316.5</v>
      </c>
      <c r="G79" s="72" t="s">
        <v>1</v>
      </c>
      <c r="H79" s="73" t="s">
        <v>40</v>
      </c>
      <c r="I79" s="66"/>
      <c r="J79" s="66"/>
      <c r="K79" s="66"/>
      <c r="L79" s="66"/>
      <c r="M79" s="278"/>
      <c r="N79" s="67"/>
      <c r="O79" s="67"/>
      <c r="P79" s="67" t="s">
        <v>254</v>
      </c>
      <c r="Q79" s="186">
        <f>4*4.4</f>
        <v>17.6</v>
      </c>
      <c r="R79" s="223" t="s">
        <v>359</v>
      </c>
      <c r="S79" s="67">
        <v>530000</v>
      </c>
      <c r="T79" s="69">
        <v>0.8</v>
      </c>
      <c r="U79" s="67">
        <f t="shared" si="3"/>
        <v>7462400</v>
      </c>
      <c r="V79" s="67"/>
      <c r="W79" s="67"/>
      <c r="X79" s="67"/>
      <c r="Y79" s="67"/>
      <c r="Z79" s="67">
        <f t="shared" si="4"/>
        <v>7462400</v>
      </c>
      <c r="AA79" s="226">
        <f>Z79</f>
        <v>7462400</v>
      </c>
      <c r="AB79" s="70" t="s">
        <v>249</v>
      </c>
    </row>
    <row r="80" spans="2:28" s="75" customFormat="1" ht="45.75" customHeight="1">
      <c r="B80" s="265">
        <v>8</v>
      </c>
      <c r="C80" s="85" t="s">
        <v>145</v>
      </c>
      <c r="D80" s="84" t="s">
        <v>132</v>
      </c>
      <c r="E80" s="84" t="s">
        <v>39</v>
      </c>
      <c r="F80" s="187">
        <v>1709.7</v>
      </c>
      <c r="G80" s="86" t="s">
        <v>29</v>
      </c>
      <c r="H80" s="87" t="s">
        <v>40</v>
      </c>
      <c r="I80" s="187"/>
      <c r="J80" s="80">
        <v>1694.9</v>
      </c>
      <c r="K80" s="80">
        <v>14.8</v>
      </c>
      <c r="L80" s="62">
        <f>I80+J80+K80</f>
        <v>1709.7</v>
      </c>
      <c r="M80" s="276">
        <f>L80</f>
        <v>1709.7</v>
      </c>
      <c r="N80" s="81">
        <v>55000</v>
      </c>
      <c r="O80" s="81">
        <f>L80*N80</f>
        <v>94033500</v>
      </c>
      <c r="P80" s="81" t="s">
        <v>126</v>
      </c>
      <c r="Q80" s="81">
        <v>6</v>
      </c>
      <c r="R80" s="183" t="s">
        <v>110</v>
      </c>
      <c r="S80" s="81">
        <v>470000</v>
      </c>
      <c r="T80" s="82">
        <v>1</v>
      </c>
      <c r="U80" s="81">
        <f t="shared" si="3"/>
        <v>2820000</v>
      </c>
      <c r="V80" s="81">
        <f>L80*7000</f>
        <v>11967900</v>
      </c>
      <c r="W80" s="81">
        <f>L80*N80*3</f>
        <v>282100500</v>
      </c>
      <c r="X80" s="81">
        <v>3</v>
      </c>
      <c r="Y80" s="81">
        <f>X80*3500000</f>
        <v>10500000</v>
      </c>
      <c r="Z80" s="81">
        <f t="shared" si="4"/>
        <v>401421900</v>
      </c>
      <c r="AA80" s="279">
        <f>SUM(Z80:Z128)</f>
        <v>924905074.4</v>
      </c>
      <c r="AB80" s="91"/>
    </row>
    <row r="81" spans="2:28" s="75" customFormat="1" ht="45.75" customHeight="1">
      <c r="B81" s="266"/>
      <c r="C81" s="85" t="s">
        <v>145</v>
      </c>
      <c r="D81" s="84" t="s">
        <v>132</v>
      </c>
      <c r="E81" s="84" t="s">
        <v>39</v>
      </c>
      <c r="F81" s="187">
        <v>1709.7</v>
      </c>
      <c r="G81" s="86" t="s">
        <v>29</v>
      </c>
      <c r="H81" s="87" t="s">
        <v>40</v>
      </c>
      <c r="I81" s="80"/>
      <c r="J81" s="80"/>
      <c r="K81" s="80"/>
      <c r="L81" s="62"/>
      <c r="M81" s="277"/>
      <c r="N81" s="81"/>
      <c r="O81" s="81"/>
      <c r="P81" s="81" t="s">
        <v>121</v>
      </c>
      <c r="Q81" s="81">
        <v>12</v>
      </c>
      <c r="R81" s="183" t="s">
        <v>110</v>
      </c>
      <c r="S81" s="81">
        <v>2027000</v>
      </c>
      <c r="T81" s="82">
        <v>1</v>
      </c>
      <c r="U81" s="81">
        <f t="shared" si="3"/>
        <v>24324000</v>
      </c>
      <c r="V81" s="81"/>
      <c r="W81" s="81"/>
      <c r="X81" s="81"/>
      <c r="Y81" s="81"/>
      <c r="Z81" s="81">
        <f t="shared" si="4"/>
        <v>24324000</v>
      </c>
      <c r="AA81" s="280"/>
      <c r="AB81" s="91"/>
    </row>
    <row r="82" spans="2:28" s="75" customFormat="1" ht="45.75" customHeight="1">
      <c r="B82" s="266"/>
      <c r="C82" s="85" t="s">
        <v>145</v>
      </c>
      <c r="D82" s="84" t="s">
        <v>132</v>
      </c>
      <c r="E82" s="84" t="s">
        <v>39</v>
      </c>
      <c r="F82" s="187">
        <v>1709.7</v>
      </c>
      <c r="G82" s="86" t="s">
        <v>29</v>
      </c>
      <c r="H82" s="87" t="s">
        <v>40</v>
      </c>
      <c r="I82" s="80"/>
      <c r="J82" s="80"/>
      <c r="K82" s="80"/>
      <c r="L82" s="62"/>
      <c r="M82" s="277"/>
      <c r="N82" s="81"/>
      <c r="O82" s="81"/>
      <c r="P82" s="81" t="s">
        <v>163</v>
      </c>
      <c r="Q82" s="81">
        <v>8</v>
      </c>
      <c r="R82" s="183" t="s">
        <v>110</v>
      </c>
      <c r="S82" s="81">
        <v>1559000</v>
      </c>
      <c r="T82" s="82">
        <v>1</v>
      </c>
      <c r="U82" s="81">
        <f t="shared" si="3"/>
        <v>12472000</v>
      </c>
      <c r="V82" s="81"/>
      <c r="W82" s="81"/>
      <c r="X82" s="81"/>
      <c r="Y82" s="81"/>
      <c r="Z82" s="81">
        <f t="shared" si="4"/>
        <v>12472000</v>
      </c>
      <c r="AA82" s="280"/>
      <c r="AB82" s="91"/>
    </row>
    <row r="83" spans="2:28" s="75" customFormat="1" ht="45.75" customHeight="1">
      <c r="B83" s="266"/>
      <c r="C83" s="85" t="s">
        <v>145</v>
      </c>
      <c r="D83" s="84" t="s">
        <v>132</v>
      </c>
      <c r="E83" s="84" t="s">
        <v>39</v>
      </c>
      <c r="F83" s="187">
        <v>1709.7</v>
      </c>
      <c r="G83" s="86" t="s">
        <v>29</v>
      </c>
      <c r="H83" s="87" t="s">
        <v>40</v>
      </c>
      <c r="I83" s="80"/>
      <c r="J83" s="80"/>
      <c r="K83" s="80"/>
      <c r="L83" s="62"/>
      <c r="M83" s="277"/>
      <c r="N83" s="81"/>
      <c r="O83" s="81"/>
      <c r="P83" s="81" t="s">
        <v>122</v>
      </c>
      <c r="Q83" s="81">
        <v>3</v>
      </c>
      <c r="R83" s="183" t="s">
        <v>110</v>
      </c>
      <c r="S83" s="81">
        <v>1091000</v>
      </c>
      <c r="T83" s="82">
        <v>1</v>
      </c>
      <c r="U83" s="81">
        <f t="shared" si="3"/>
        <v>3273000</v>
      </c>
      <c r="V83" s="81"/>
      <c r="W83" s="81"/>
      <c r="X83" s="81"/>
      <c r="Y83" s="81"/>
      <c r="Z83" s="81">
        <f t="shared" si="4"/>
        <v>3273000</v>
      </c>
      <c r="AA83" s="280"/>
      <c r="AB83" s="91"/>
    </row>
    <row r="84" spans="2:28" s="75" customFormat="1" ht="45.75" customHeight="1">
      <c r="B84" s="266"/>
      <c r="C84" s="85" t="s">
        <v>145</v>
      </c>
      <c r="D84" s="84" t="s">
        <v>132</v>
      </c>
      <c r="E84" s="84" t="s">
        <v>39</v>
      </c>
      <c r="F84" s="187">
        <v>1709.7</v>
      </c>
      <c r="G84" s="86" t="s">
        <v>29</v>
      </c>
      <c r="H84" s="87" t="s">
        <v>40</v>
      </c>
      <c r="I84" s="80"/>
      <c r="J84" s="80"/>
      <c r="K84" s="80"/>
      <c r="L84" s="62"/>
      <c r="M84" s="277"/>
      <c r="N84" s="81"/>
      <c r="O84" s="81"/>
      <c r="P84" s="81" t="s">
        <v>155</v>
      </c>
      <c r="Q84" s="81">
        <v>7</v>
      </c>
      <c r="R84" s="183" t="s">
        <v>110</v>
      </c>
      <c r="S84" s="81">
        <v>320000</v>
      </c>
      <c r="T84" s="82">
        <v>1</v>
      </c>
      <c r="U84" s="81">
        <f t="shared" si="3"/>
        <v>2240000</v>
      </c>
      <c r="V84" s="81"/>
      <c r="W84" s="81"/>
      <c r="X84" s="81"/>
      <c r="Y84" s="81"/>
      <c r="Z84" s="81">
        <f t="shared" si="4"/>
        <v>2240000</v>
      </c>
      <c r="AA84" s="280"/>
      <c r="AB84" s="91"/>
    </row>
    <row r="85" spans="2:28" s="75" customFormat="1" ht="45.75" customHeight="1">
      <c r="B85" s="266"/>
      <c r="C85" s="85" t="s">
        <v>145</v>
      </c>
      <c r="D85" s="84" t="s">
        <v>132</v>
      </c>
      <c r="E85" s="84" t="s">
        <v>39</v>
      </c>
      <c r="F85" s="187">
        <v>1709.7</v>
      </c>
      <c r="G85" s="86" t="s">
        <v>29</v>
      </c>
      <c r="H85" s="87" t="s">
        <v>40</v>
      </c>
      <c r="I85" s="80"/>
      <c r="J85" s="80"/>
      <c r="K85" s="80"/>
      <c r="L85" s="62"/>
      <c r="M85" s="277"/>
      <c r="N85" s="81"/>
      <c r="O85" s="81"/>
      <c r="P85" s="81" t="s">
        <v>160</v>
      </c>
      <c r="Q85" s="81">
        <v>50</v>
      </c>
      <c r="R85" s="90" t="s">
        <v>110</v>
      </c>
      <c r="S85" s="81">
        <v>34000</v>
      </c>
      <c r="T85" s="82">
        <v>1</v>
      </c>
      <c r="U85" s="81">
        <f t="shared" si="3"/>
        <v>1700000</v>
      </c>
      <c r="V85" s="81"/>
      <c r="W85" s="81"/>
      <c r="X85" s="81"/>
      <c r="Y85" s="81"/>
      <c r="Z85" s="81">
        <f t="shared" si="4"/>
        <v>1700000</v>
      </c>
      <c r="AA85" s="280"/>
      <c r="AB85" s="91"/>
    </row>
    <row r="86" spans="2:28" s="75" customFormat="1" ht="45.75" customHeight="1">
      <c r="B86" s="266"/>
      <c r="C86" s="85" t="s">
        <v>145</v>
      </c>
      <c r="D86" s="84" t="s">
        <v>132</v>
      </c>
      <c r="E86" s="84" t="s">
        <v>39</v>
      </c>
      <c r="F86" s="187">
        <v>1709.7</v>
      </c>
      <c r="G86" s="86" t="s">
        <v>29</v>
      </c>
      <c r="H86" s="87" t="s">
        <v>40</v>
      </c>
      <c r="I86" s="80"/>
      <c r="J86" s="80"/>
      <c r="K86" s="80"/>
      <c r="L86" s="62"/>
      <c r="M86" s="277"/>
      <c r="N86" s="81"/>
      <c r="O86" s="81"/>
      <c r="P86" s="81" t="s">
        <v>166</v>
      </c>
      <c r="Q86" s="81">
        <v>2</v>
      </c>
      <c r="R86" s="90" t="s">
        <v>110</v>
      </c>
      <c r="S86" s="81">
        <v>1805000</v>
      </c>
      <c r="T86" s="82">
        <v>1</v>
      </c>
      <c r="U86" s="81">
        <f t="shared" si="3"/>
        <v>3610000</v>
      </c>
      <c r="V86" s="81"/>
      <c r="W86" s="81"/>
      <c r="X86" s="81"/>
      <c r="Y86" s="81"/>
      <c r="Z86" s="81">
        <f t="shared" si="4"/>
        <v>3610000</v>
      </c>
      <c r="AA86" s="280"/>
      <c r="AB86" s="91"/>
    </row>
    <row r="87" spans="2:28" s="75" customFormat="1" ht="45.75" customHeight="1">
      <c r="B87" s="266"/>
      <c r="C87" s="85" t="s">
        <v>145</v>
      </c>
      <c r="D87" s="84" t="s">
        <v>132</v>
      </c>
      <c r="E87" s="84" t="s">
        <v>39</v>
      </c>
      <c r="F87" s="187">
        <v>1709.7</v>
      </c>
      <c r="G87" s="86" t="s">
        <v>29</v>
      </c>
      <c r="H87" s="87" t="s">
        <v>40</v>
      </c>
      <c r="I87" s="80"/>
      <c r="J87" s="80"/>
      <c r="K87" s="80"/>
      <c r="L87" s="62"/>
      <c r="M87" s="277"/>
      <c r="N87" s="81"/>
      <c r="O87" s="81"/>
      <c r="P87" s="81" t="s">
        <v>128</v>
      </c>
      <c r="Q87" s="81">
        <v>1</v>
      </c>
      <c r="R87" s="90" t="s">
        <v>110</v>
      </c>
      <c r="S87" s="81">
        <v>530000</v>
      </c>
      <c r="T87" s="82">
        <v>1</v>
      </c>
      <c r="U87" s="81">
        <f t="shared" si="3"/>
        <v>530000</v>
      </c>
      <c r="V87" s="81"/>
      <c r="W87" s="81"/>
      <c r="X87" s="81"/>
      <c r="Y87" s="81"/>
      <c r="Z87" s="81">
        <f t="shared" si="4"/>
        <v>530000</v>
      </c>
      <c r="AA87" s="280"/>
      <c r="AB87" s="91"/>
    </row>
    <row r="88" spans="2:28" s="75" customFormat="1" ht="45.75" customHeight="1">
      <c r="B88" s="266"/>
      <c r="C88" s="85" t="s">
        <v>145</v>
      </c>
      <c r="D88" s="84" t="s">
        <v>132</v>
      </c>
      <c r="E88" s="84" t="s">
        <v>39</v>
      </c>
      <c r="F88" s="187">
        <v>1709.7</v>
      </c>
      <c r="G88" s="86" t="s">
        <v>29</v>
      </c>
      <c r="H88" s="87" t="s">
        <v>40</v>
      </c>
      <c r="I88" s="80"/>
      <c r="J88" s="80"/>
      <c r="K88" s="80"/>
      <c r="L88" s="62"/>
      <c r="M88" s="277"/>
      <c r="N88" s="81"/>
      <c r="O88" s="81"/>
      <c r="P88" s="81" t="s">
        <v>149</v>
      </c>
      <c r="Q88" s="80">
        <v>14</v>
      </c>
      <c r="R88" s="90" t="s">
        <v>165</v>
      </c>
      <c r="S88" s="81">
        <v>58300</v>
      </c>
      <c r="T88" s="82">
        <v>1</v>
      </c>
      <c r="U88" s="81">
        <f t="shared" si="3"/>
        <v>816200</v>
      </c>
      <c r="V88" s="81"/>
      <c r="W88" s="81"/>
      <c r="X88" s="81"/>
      <c r="Y88" s="81"/>
      <c r="Z88" s="81">
        <f t="shared" si="4"/>
        <v>816200</v>
      </c>
      <c r="AA88" s="280"/>
      <c r="AB88" s="91"/>
    </row>
    <row r="89" spans="2:28" s="75" customFormat="1" ht="45.75" customHeight="1">
      <c r="B89" s="266"/>
      <c r="C89" s="85" t="s">
        <v>145</v>
      </c>
      <c r="D89" s="84" t="s">
        <v>132</v>
      </c>
      <c r="E89" s="84" t="s">
        <v>39</v>
      </c>
      <c r="F89" s="187">
        <v>1709.7</v>
      </c>
      <c r="G89" s="86" t="s">
        <v>29</v>
      </c>
      <c r="H89" s="87" t="s">
        <v>40</v>
      </c>
      <c r="I89" s="80"/>
      <c r="J89" s="80"/>
      <c r="K89" s="80"/>
      <c r="L89" s="62"/>
      <c r="M89" s="277"/>
      <c r="N89" s="81"/>
      <c r="O89" s="81"/>
      <c r="P89" s="81" t="s">
        <v>174</v>
      </c>
      <c r="Q89" s="81">
        <v>3</v>
      </c>
      <c r="R89" s="90" t="s">
        <v>110</v>
      </c>
      <c r="S89" s="81">
        <v>185000</v>
      </c>
      <c r="T89" s="82">
        <v>1</v>
      </c>
      <c r="U89" s="81">
        <f t="shared" si="3"/>
        <v>555000</v>
      </c>
      <c r="V89" s="81"/>
      <c r="W89" s="81"/>
      <c r="X89" s="81"/>
      <c r="Y89" s="81"/>
      <c r="Z89" s="81">
        <f t="shared" si="4"/>
        <v>555000</v>
      </c>
      <c r="AA89" s="280"/>
      <c r="AB89" s="91"/>
    </row>
    <row r="90" spans="2:28" s="75" customFormat="1" ht="45.75" customHeight="1">
      <c r="B90" s="266"/>
      <c r="C90" s="85" t="s">
        <v>145</v>
      </c>
      <c r="D90" s="84" t="s">
        <v>132</v>
      </c>
      <c r="E90" s="84" t="s">
        <v>39</v>
      </c>
      <c r="F90" s="187">
        <v>1709.7</v>
      </c>
      <c r="G90" s="86" t="s">
        <v>29</v>
      </c>
      <c r="H90" s="87" t="s">
        <v>40</v>
      </c>
      <c r="I90" s="80"/>
      <c r="J90" s="80"/>
      <c r="K90" s="80"/>
      <c r="L90" s="62"/>
      <c r="M90" s="277"/>
      <c r="N90" s="81"/>
      <c r="O90" s="81"/>
      <c r="P90" s="81" t="s">
        <v>173</v>
      </c>
      <c r="Q90" s="81">
        <v>2</v>
      </c>
      <c r="R90" s="90" t="s">
        <v>110</v>
      </c>
      <c r="S90" s="81">
        <v>319000</v>
      </c>
      <c r="T90" s="82">
        <v>1</v>
      </c>
      <c r="U90" s="81">
        <f t="shared" si="3"/>
        <v>638000</v>
      </c>
      <c r="V90" s="81"/>
      <c r="W90" s="81"/>
      <c r="X90" s="81"/>
      <c r="Y90" s="81"/>
      <c r="Z90" s="81">
        <f t="shared" si="4"/>
        <v>638000</v>
      </c>
      <c r="AA90" s="280"/>
      <c r="AB90" s="91"/>
    </row>
    <row r="91" spans="2:28" s="75" customFormat="1" ht="45.75" customHeight="1">
      <c r="B91" s="266"/>
      <c r="C91" s="85" t="s">
        <v>145</v>
      </c>
      <c r="D91" s="84" t="s">
        <v>132</v>
      </c>
      <c r="E91" s="84" t="s">
        <v>39</v>
      </c>
      <c r="F91" s="187">
        <v>1709.7</v>
      </c>
      <c r="G91" s="86" t="s">
        <v>29</v>
      </c>
      <c r="H91" s="87" t="s">
        <v>40</v>
      </c>
      <c r="I91" s="80"/>
      <c r="J91" s="80"/>
      <c r="K91" s="80"/>
      <c r="L91" s="62"/>
      <c r="M91" s="277"/>
      <c r="N91" s="81"/>
      <c r="O91" s="81"/>
      <c r="P91" s="81" t="s">
        <v>150</v>
      </c>
      <c r="Q91" s="81">
        <v>7</v>
      </c>
      <c r="R91" s="90" t="s">
        <v>110</v>
      </c>
      <c r="S91" s="81">
        <v>107000</v>
      </c>
      <c r="T91" s="82">
        <v>1</v>
      </c>
      <c r="U91" s="81">
        <f t="shared" si="3"/>
        <v>749000</v>
      </c>
      <c r="V91" s="81"/>
      <c r="W91" s="81"/>
      <c r="X91" s="81"/>
      <c r="Y91" s="81"/>
      <c r="Z91" s="81">
        <f t="shared" si="4"/>
        <v>749000</v>
      </c>
      <c r="AA91" s="280"/>
      <c r="AB91" s="91"/>
    </row>
    <row r="92" spans="2:28" s="75" customFormat="1" ht="65.25" customHeight="1">
      <c r="B92" s="266"/>
      <c r="C92" s="85" t="s">
        <v>145</v>
      </c>
      <c r="D92" s="84" t="s">
        <v>132</v>
      </c>
      <c r="E92" s="84" t="s">
        <v>39</v>
      </c>
      <c r="F92" s="187">
        <v>1709.7</v>
      </c>
      <c r="G92" s="86" t="s">
        <v>29</v>
      </c>
      <c r="H92" s="87" t="s">
        <v>40</v>
      </c>
      <c r="I92" s="80"/>
      <c r="J92" s="80"/>
      <c r="K92" s="80"/>
      <c r="L92" s="62"/>
      <c r="M92" s="277"/>
      <c r="N92" s="81"/>
      <c r="O92" s="81"/>
      <c r="P92" s="81" t="s">
        <v>204</v>
      </c>
      <c r="Q92" s="80">
        <v>3</v>
      </c>
      <c r="R92" s="90" t="s">
        <v>175</v>
      </c>
      <c r="S92" s="81">
        <v>45700</v>
      </c>
      <c r="T92" s="82">
        <v>1</v>
      </c>
      <c r="U92" s="81">
        <f t="shared" si="3"/>
        <v>137100</v>
      </c>
      <c r="V92" s="81"/>
      <c r="W92" s="81"/>
      <c r="X92" s="81"/>
      <c r="Y92" s="81"/>
      <c r="Z92" s="81">
        <f t="shared" si="4"/>
        <v>137100</v>
      </c>
      <c r="AA92" s="280"/>
      <c r="AB92" s="91"/>
    </row>
    <row r="93" spans="2:28" s="75" customFormat="1" ht="45.75" customHeight="1">
      <c r="B93" s="266"/>
      <c r="C93" s="85" t="s">
        <v>145</v>
      </c>
      <c r="D93" s="84" t="s">
        <v>132</v>
      </c>
      <c r="E93" s="84" t="s">
        <v>39</v>
      </c>
      <c r="F93" s="187">
        <v>1709.7</v>
      </c>
      <c r="G93" s="86" t="s">
        <v>29</v>
      </c>
      <c r="H93" s="87" t="s">
        <v>40</v>
      </c>
      <c r="I93" s="80"/>
      <c r="J93" s="80"/>
      <c r="K93" s="80"/>
      <c r="L93" s="62"/>
      <c r="M93" s="277"/>
      <c r="N93" s="81"/>
      <c r="O93" s="81"/>
      <c r="P93" s="81" t="s">
        <v>170</v>
      </c>
      <c r="Q93" s="81">
        <v>1</v>
      </c>
      <c r="R93" s="90" t="s">
        <v>110</v>
      </c>
      <c r="S93" s="81">
        <v>460000</v>
      </c>
      <c r="T93" s="82">
        <v>1</v>
      </c>
      <c r="U93" s="81">
        <f t="shared" si="3"/>
        <v>460000</v>
      </c>
      <c r="V93" s="81"/>
      <c r="W93" s="81"/>
      <c r="X93" s="81"/>
      <c r="Y93" s="81"/>
      <c r="Z93" s="81">
        <f t="shared" si="4"/>
        <v>460000</v>
      </c>
      <c r="AA93" s="280"/>
      <c r="AB93" s="91"/>
    </row>
    <row r="94" spans="2:28" s="65" customFormat="1" ht="45.75" customHeight="1">
      <c r="B94" s="266"/>
      <c r="C94" s="74" t="s">
        <v>145</v>
      </c>
      <c r="D94" s="71" t="s">
        <v>132</v>
      </c>
      <c r="E94" s="71" t="s">
        <v>39</v>
      </c>
      <c r="F94" s="221">
        <v>1709.7</v>
      </c>
      <c r="G94" s="72" t="s">
        <v>29</v>
      </c>
      <c r="H94" s="73" t="s">
        <v>40</v>
      </c>
      <c r="I94" s="66"/>
      <c r="J94" s="66"/>
      <c r="K94" s="66"/>
      <c r="L94" s="62"/>
      <c r="M94" s="277"/>
      <c r="N94" s="67"/>
      <c r="O94" s="67"/>
      <c r="P94" s="67" t="s">
        <v>269</v>
      </c>
      <c r="Q94" s="67">
        <v>2</v>
      </c>
      <c r="R94" s="68" t="s">
        <v>110</v>
      </c>
      <c r="S94" s="67">
        <v>895000</v>
      </c>
      <c r="T94" s="69">
        <v>1</v>
      </c>
      <c r="U94" s="67">
        <f t="shared" si="3"/>
        <v>1790000</v>
      </c>
      <c r="V94" s="67"/>
      <c r="W94" s="67"/>
      <c r="X94" s="67"/>
      <c r="Y94" s="67"/>
      <c r="Z94" s="81">
        <f t="shared" si="4"/>
        <v>1790000</v>
      </c>
      <c r="AA94" s="280"/>
      <c r="AB94" s="70"/>
    </row>
    <row r="95" spans="2:28" s="65" customFormat="1" ht="45.75" customHeight="1">
      <c r="B95" s="266"/>
      <c r="C95" s="74" t="s">
        <v>145</v>
      </c>
      <c r="D95" s="71" t="s">
        <v>132</v>
      </c>
      <c r="E95" s="71" t="s">
        <v>39</v>
      </c>
      <c r="F95" s="221">
        <v>1709.7</v>
      </c>
      <c r="G95" s="72" t="s">
        <v>29</v>
      </c>
      <c r="H95" s="73" t="s">
        <v>40</v>
      </c>
      <c r="I95" s="66"/>
      <c r="J95" s="66"/>
      <c r="K95" s="66"/>
      <c r="L95" s="62"/>
      <c r="M95" s="277"/>
      <c r="N95" s="67"/>
      <c r="O95" s="67"/>
      <c r="P95" s="67" t="s">
        <v>270</v>
      </c>
      <c r="Q95" s="67">
        <v>1</v>
      </c>
      <c r="R95" s="68" t="s">
        <v>110</v>
      </c>
      <c r="S95" s="67">
        <v>650000</v>
      </c>
      <c r="T95" s="69">
        <v>1</v>
      </c>
      <c r="U95" s="67">
        <f t="shared" si="3"/>
        <v>650000</v>
      </c>
      <c r="V95" s="67"/>
      <c r="W95" s="67"/>
      <c r="X95" s="67"/>
      <c r="Y95" s="67"/>
      <c r="Z95" s="81">
        <f t="shared" si="4"/>
        <v>650000</v>
      </c>
      <c r="AA95" s="280"/>
      <c r="AB95" s="70"/>
    </row>
    <row r="96" spans="2:28" s="75" customFormat="1" ht="45.75" customHeight="1">
      <c r="B96" s="266"/>
      <c r="C96" s="85" t="s">
        <v>145</v>
      </c>
      <c r="D96" s="84" t="s">
        <v>132</v>
      </c>
      <c r="E96" s="84" t="s">
        <v>39</v>
      </c>
      <c r="F96" s="187">
        <v>1709.7</v>
      </c>
      <c r="G96" s="86" t="s">
        <v>29</v>
      </c>
      <c r="H96" s="87" t="s">
        <v>40</v>
      </c>
      <c r="I96" s="80"/>
      <c r="J96" s="80"/>
      <c r="K96" s="80"/>
      <c r="L96" s="62"/>
      <c r="M96" s="277"/>
      <c r="N96" s="81"/>
      <c r="O96" s="81"/>
      <c r="P96" s="81" t="s">
        <v>146</v>
      </c>
      <c r="Q96" s="81">
        <v>20</v>
      </c>
      <c r="R96" s="90" t="s">
        <v>152</v>
      </c>
      <c r="S96" s="81">
        <v>87000</v>
      </c>
      <c r="T96" s="82">
        <v>1</v>
      </c>
      <c r="U96" s="81">
        <f t="shared" si="3"/>
        <v>1740000</v>
      </c>
      <c r="V96" s="81"/>
      <c r="W96" s="81"/>
      <c r="X96" s="81"/>
      <c r="Y96" s="81"/>
      <c r="Z96" s="81">
        <f t="shared" si="4"/>
        <v>1740000</v>
      </c>
      <c r="AA96" s="280"/>
      <c r="AB96" s="91"/>
    </row>
    <row r="97" spans="2:28" s="75" customFormat="1" ht="45.75" customHeight="1">
      <c r="B97" s="266"/>
      <c r="C97" s="85" t="s">
        <v>145</v>
      </c>
      <c r="D97" s="84" t="s">
        <v>132</v>
      </c>
      <c r="E97" s="84" t="s">
        <v>39</v>
      </c>
      <c r="F97" s="187">
        <v>1709.7</v>
      </c>
      <c r="G97" s="86" t="s">
        <v>29</v>
      </c>
      <c r="H97" s="87" t="s">
        <v>40</v>
      </c>
      <c r="I97" s="80"/>
      <c r="J97" s="80"/>
      <c r="K97" s="80"/>
      <c r="L97" s="62"/>
      <c r="M97" s="277"/>
      <c r="N97" s="81"/>
      <c r="O97" s="81"/>
      <c r="P97" s="81" t="s">
        <v>168</v>
      </c>
      <c r="Q97" s="81">
        <v>8</v>
      </c>
      <c r="R97" s="90" t="s">
        <v>110</v>
      </c>
      <c r="S97" s="81">
        <v>15000</v>
      </c>
      <c r="T97" s="82">
        <v>1</v>
      </c>
      <c r="U97" s="81">
        <f t="shared" si="3"/>
        <v>120000</v>
      </c>
      <c r="V97" s="81"/>
      <c r="W97" s="81"/>
      <c r="X97" s="81"/>
      <c r="Y97" s="81"/>
      <c r="Z97" s="81">
        <f t="shared" si="4"/>
        <v>120000</v>
      </c>
      <c r="AA97" s="280"/>
      <c r="AB97" s="91"/>
    </row>
    <row r="98" spans="2:28" s="75" customFormat="1" ht="45.75" customHeight="1">
      <c r="B98" s="266"/>
      <c r="C98" s="85" t="s">
        <v>145</v>
      </c>
      <c r="D98" s="84" t="s">
        <v>132</v>
      </c>
      <c r="E98" s="84" t="s">
        <v>39</v>
      </c>
      <c r="F98" s="187">
        <v>1709.7</v>
      </c>
      <c r="G98" s="86" t="s">
        <v>29</v>
      </c>
      <c r="H98" s="87" t="s">
        <v>40</v>
      </c>
      <c r="I98" s="80"/>
      <c r="J98" s="80"/>
      <c r="K98" s="80"/>
      <c r="L98" s="62"/>
      <c r="M98" s="277"/>
      <c r="N98" s="81"/>
      <c r="O98" s="81"/>
      <c r="P98" s="81" t="s">
        <v>172</v>
      </c>
      <c r="Q98" s="81">
        <v>1</v>
      </c>
      <c r="R98" s="90" t="s">
        <v>110</v>
      </c>
      <c r="S98" s="81">
        <v>2517000</v>
      </c>
      <c r="T98" s="82">
        <v>1</v>
      </c>
      <c r="U98" s="81">
        <f t="shared" si="3"/>
        <v>2517000</v>
      </c>
      <c r="V98" s="81"/>
      <c r="W98" s="81"/>
      <c r="X98" s="81"/>
      <c r="Y98" s="81"/>
      <c r="Z98" s="81">
        <f t="shared" si="4"/>
        <v>2517000</v>
      </c>
      <c r="AA98" s="280"/>
      <c r="AB98" s="91"/>
    </row>
    <row r="99" spans="2:28" s="75" customFormat="1" ht="45.75" customHeight="1">
      <c r="B99" s="266"/>
      <c r="C99" s="85" t="s">
        <v>145</v>
      </c>
      <c r="D99" s="84" t="s">
        <v>132</v>
      </c>
      <c r="E99" s="84" t="s">
        <v>39</v>
      </c>
      <c r="F99" s="187">
        <v>1709.7</v>
      </c>
      <c r="G99" s="86" t="s">
        <v>29</v>
      </c>
      <c r="H99" s="87" t="s">
        <v>40</v>
      </c>
      <c r="I99" s="80"/>
      <c r="J99" s="80"/>
      <c r="K99" s="80"/>
      <c r="L99" s="62"/>
      <c r="M99" s="277"/>
      <c r="N99" s="81"/>
      <c r="O99" s="81"/>
      <c r="P99" s="81" t="s">
        <v>171</v>
      </c>
      <c r="Q99" s="81">
        <v>4</v>
      </c>
      <c r="R99" s="90" t="s">
        <v>110</v>
      </c>
      <c r="S99" s="81">
        <v>573000</v>
      </c>
      <c r="T99" s="82">
        <v>1</v>
      </c>
      <c r="U99" s="81">
        <f t="shared" si="3"/>
        <v>2292000</v>
      </c>
      <c r="V99" s="81"/>
      <c r="W99" s="81"/>
      <c r="X99" s="81"/>
      <c r="Y99" s="81"/>
      <c r="Z99" s="81">
        <f t="shared" si="4"/>
        <v>2292000</v>
      </c>
      <c r="AA99" s="280"/>
      <c r="AB99" s="91"/>
    </row>
    <row r="100" spans="2:28" s="75" customFormat="1" ht="45.75" customHeight="1">
      <c r="B100" s="266"/>
      <c r="C100" s="85" t="s">
        <v>145</v>
      </c>
      <c r="D100" s="84" t="s">
        <v>132</v>
      </c>
      <c r="E100" s="84" t="s">
        <v>39</v>
      </c>
      <c r="F100" s="187">
        <v>1709.7</v>
      </c>
      <c r="G100" s="86" t="s">
        <v>29</v>
      </c>
      <c r="H100" s="87" t="s">
        <v>40</v>
      </c>
      <c r="I100" s="80"/>
      <c r="J100" s="80"/>
      <c r="K100" s="80"/>
      <c r="L100" s="62"/>
      <c r="M100" s="277"/>
      <c r="N100" s="81"/>
      <c r="O100" s="81"/>
      <c r="P100" s="81" t="s">
        <v>167</v>
      </c>
      <c r="Q100" s="80">
        <f>22*4</f>
        <v>88</v>
      </c>
      <c r="R100" s="90" t="s">
        <v>169</v>
      </c>
      <c r="S100" s="81">
        <v>170000</v>
      </c>
      <c r="T100" s="82">
        <v>0.8</v>
      </c>
      <c r="U100" s="81">
        <f t="shared" si="3"/>
        <v>11968000</v>
      </c>
      <c r="V100" s="81"/>
      <c r="W100" s="81"/>
      <c r="X100" s="81"/>
      <c r="Y100" s="81"/>
      <c r="Z100" s="81">
        <f t="shared" si="4"/>
        <v>11968000</v>
      </c>
      <c r="AA100" s="280"/>
      <c r="AB100" s="91"/>
    </row>
    <row r="101" spans="2:28" s="75" customFormat="1" ht="45.75" customHeight="1">
      <c r="B101" s="266"/>
      <c r="C101" s="85" t="s">
        <v>145</v>
      </c>
      <c r="D101" s="84" t="s">
        <v>132</v>
      </c>
      <c r="E101" s="84" t="s">
        <v>39</v>
      </c>
      <c r="F101" s="187">
        <v>1709.7</v>
      </c>
      <c r="G101" s="86" t="s">
        <v>29</v>
      </c>
      <c r="H101" s="87" t="s">
        <v>40</v>
      </c>
      <c r="I101" s="80"/>
      <c r="J101" s="80"/>
      <c r="K101" s="80"/>
      <c r="L101" s="62"/>
      <c r="M101" s="277"/>
      <c r="N101" s="81"/>
      <c r="O101" s="81"/>
      <c r="P101" s="81" t="s">
        <v>176</v>
      </c>
      <c r="Q101" s="182">
        <f>0.4*0.04*2*2</f>
        <v>0.064</v>
      </c>
      <c r="R101" s="90" t="s">
        <v>205</v>
      </c>
      <c r="S101" s="81">
        <v>1320000</v>
      </c>
      <c r="T101" s="82">
        <v>0.8</v>
      </c>
      <c r="U101" s="81">
        <f t="shared" si="3"/>
        <v>67584</v>
      </c>
      <c r="V101" s="81"/>
      <c r="W101" s="81"/>
      <c r="X101" s="81"/>
      <c r="Y101" s="81"/>
      <c r="Z101" s="81">
        <f t="shared" si="4"/>
        <v>67584</v>
      </c>
      <c r="AA101" s="280"/>
      <c r="AB101" s="91"/>
    </row>
    <row r="102" spans="2:28" s="75" customFormat="1" ht="45.75" customHeight="1">
      <c r="B102" s="266"/>
      <c r="C102" s="85" t="s">
        <v>145</v>
      </c>
      <c r="D102" s="84" t="s">
        <v>132</v>
      </c>
      <c r="E102" s="84" t="s">
        <v>39</v>
      </c>
      <c r="F102" s="187">
        <v>1709.7</v>
      </c>
      <c r="G102" s="86" t="s">
        <v>29</v>
      </c>
      <c r="H102" s="87" t="s">
        <v>40</v>
      </c>
      <c r="I102" s="80"/>
      <c r="J102" s="80"/>
      <c r="K102" s="80"/>
      <c r="L102" s="62"/>
      <c r="M102" s="277"/>
      <c r="N102" s="81"/>
      <c r="O102" s="81"/>
      <c r="P102" s="81" t="s">
        <v>177</v>
      </c>
      <c r="Q102" s="182">
        <f>11*1.7</f>
        <v>18.7</v>
      </c>
      <c r="R102" s="183" t="s">
        <v>206</v>
      </c>
      <c r="S102" s="81">
        <v>430000</v>
      </c>
      <c r="T102" s="82">
        <v>0.8</v>
      </c>
      <c r="U102" s="81">
        <f t="shared" si="3"/>
        <v>6432800</v>
      </c>
      <c r="V102" s="81"/>
      <c r="W102" s="81"/>
      <c r="X102" s="81"/>
      <c r="Y102" s="81"/>
      <c r="Z102" s="81">
        <f t="shared" si="4"/>
        <v>6432800</v>
      </c>
      <c r="AA102" s="280"/>
      <c r="AB102" s="91"/>
    </row>
    <row r="103" spans="2:28" s="75" customFormat="1" ht="45.75" customHeight="1">
      <c r="B103" s="266"/>
      <c r="C103" s="85" t="s">
        <v>145</v>
      </c>
      <c r="D103" s="84" t="s">
        <v>132</v>
      </c>
      <c r="E103" s="84" t="s">
        <v>39</v>
      </c>
      <c r="F103" s="187">
        <v>1709.7</v>
      </c>
      <c r="G103" s="86" t="s">
        <v>29</v>
      </c>
      <c r="H103" s="87" t="s">
        <v>40</v>
      </c>
      <c r="I103" s="80"/>
      <c r="J103" s="80"/>
      <c r="K103" s="80"/>
      <c r="L103" s="62"/>
      <c r="M103" s="277"/>
      <c r="N103" s="81"/>
      <c r="O103" s="81"/>
      <c r="P103" s="81" t="s">
        <v>185</v>
      </c>
      <c r="Q103" s="182">
        <f>11*2*0.07</f>
        <v>1.54</v>
      </c>
      <c r="R103" s="90" t="s">
        <v>205</v>
      </c>
      <c r="S103" s="81">
        <v>2110000</v>
      </c>
      <c r="T103" s="82">
        <v>0.8</v>
      </c>
      <c r="U103" s="81">
        <f t="shared" si="3"/>
        <v>2599520</v>
      </c>
      <c r="V103" s="81"/>
      <c r="W103" s="81"/>
      <c r="X103" s="81"/>
      <c r="Y103" s="81"/>
      <c r="Z103" s="81">
        <f t="shared" si="4"/>
        <v>2599520</v>
      </c>
      <c r="AA103" s="280"/>
      <c r="AB103" s="91"/>
    </row>
    <row r="104" spans="2:28" s="75" customFormat="1" ht="79.5" customHeight="1">
      <c r="B104" s="266"/>
      <c r="C104" s="85" t="s">
        <v>145</v>
      </c>
      <c r="D104" s="84" t="s">
        <v>132</v>
      </c>
      <c r="E104" s="84" t="s">
        <v>39</v>
      </c>
      <c r="F104" s="187">
        <v>1709.7</v>
      </c>
      <c r="G104" s="86" t="s">
        <v>29</v>
      </c>
      <c r="H104" s="87" t="s">
        <v>40</v>
      </c>
      <c r="I104" s="80"/>
      <c r="J104" s="80"/>
      <c r="K104" s="80"/>
      <c r="L104" s="62"/>
      <c r="M104" s="277"/>
      <c r="N104" s="81"/>
      <c r="O104" s="81"/>
      <c r="P104" s="81" t="s">
        <v>179</v>
      </c>
      <c r="Q104" s="182">
        <f>10*5</f>
        <v>50</v>
      </c>
      <c r="R104" s="183" t="s">
        <v>164</v>
      </c>
      <c r="S104" s="81">
        <v>530000</v>
      </c>
      <c r="T104" s="82">
        <v>0.8</v>
      </c>
      <c r="U104" s="81">
        <f t="shared" si="3"/>
        <v>21200000</v>
      </c>
      <c r="V104" s="81"/>
      <c r="W104" s="81"/>
      <c r="X104" s="81"/>
      <c r="Y104" s="81"/>
      <c r="Z104" s="81">
        <f t="shared" si="4"/>
        <v>21200000</v>
      </c>
      <c r="AA104" s="280"/>
      <c r="AB104" s="91" t="s">
        <v>249</v>
      </c>
    </row>
    <row r="105" spans="2:28" s="75" customFormat="1" ht="60.75" customHeight="1">
      <c r="B105" s="266"/>
      <c r="C105" s="85" t="s">
        <v>145</v>
      </c>
      <c r="D105" s="84" t="s">
        <v>132</v>
      </c>
      <c r="E105" s="84" t="s">
        <v>39</v>
      </c>
      <c r="F105" s="187">
        <v>1709.7</v>
      </c>
      <c r="G105" s="86" t="s">
        <v>29</v>
      </c>
      <c r="H105" s="87" t="s">
        <v>40</v>
      </c>
      <c r="I105" s="80"/>
      <c r="J105" s="80"/>
      <c r="K105" s="80"/>
      <c r="L105" s="62"/>
      <c r="M105" s="277"/>
      <c r="N105" s="81"/>
      <c r="O105" s="81"/>
      <c r="P105" s="81" t="s">
        <v>178</v>
      </c>
      <c r="Q105" s="182">
        <f>10*1.3+9.2*2.7</f>
        <v>37.84</v>
      </c>
      <c r="R105" s="183" t="s">
        <v>206</v>
      </c>
      <c r="S105" s="81">
        <v>430000</v>
      </c>
      <c r="T105" s="82">
        <v>0.8</v>
      </c>
      <c r="U105" s="81">
        <f t="shared" si="3"/>
        <v>13016960.000000002</v>
      </c>
      <c r="V105" s="81"/>
      <c r="W105" s="81"/>
      <c r="X105" s="81"/>
      <c r="Y105" s="81"/>
      <c r="Z105" s="81">
        <f t="shared" si="4"/>
        <v>13016960.000000002</v>
      </c>
      <c r="AA105" s="280"/>
      <c r="AB105" s="91"/>
    </row>
    <row r="106" spans="2:28" s="75" customFormat="1" ht="80.25" customHeight="1">
      <c r="B106" s="266"/>
      <c r="C106" s="85" t="s">
        <v>145</v>
      </c>
      <c r="D106" s="84" t="s">
        <v>132</v>
      </c>
      <c r="E106" s="84" t="s">
        <v>39</v>
      </c>
      <c r="F106" s="187">
        <v>1709.7</v>
      </c>
      <c r="G106" s="86" t="s">
        <v>29</v>
      </c>
      <c r="H106" s="87" t="s">
        <v>40</v>
      </c>
      <c r="I106" s="80"/>
      <c r="J106" s="80"/>
      <c r="K106" s="80"/>
      <c r="L106" s="62"/>
      <c r="M106" s="277"/>
      <c r="N106" s="81"/>
      <c r="O106" s="81"/>
      <c r="P106" s="81" t="s">
        <v>180</v>
      </c>
      <c r="Q106" s="182">
        <f>4.5*4.3</f>
        <v>19.349999999999998</v>
      </c>
      <c r="R106" s="183" t="s">
        <v>164</v>
      </c>
      <c r="S106" s="81">
        <v>530000</v>
      </c>
      <c r="T106" s="82">
        <v>0.8</v>
      </c>
      <c r="U106" s="81">
        <f t="shared" si="3"/>
        <v>8204399.999999999</v>
      </c>
      <c r="V106" s="81"/>
      <c r="W106" s="81"/>
      <c r="X106" s="81"/>
      <c r="Y106" s="81"/>
      <c r="Z106" s="81">
        <f t="shared" si="4"/>
        <v>8204399.999999999</v>
      </c>
      <c r="AA106" s="280"/>
      <c r="AB106" s="91" t="s">
        <v>249</v>
      </c>
    </row>
    <row r="107" spans="2:28" s="75" customFormat="1" ht="45.75" customHeight="1">
      <c r="B107" s="266"/>
      <c r="C107" s="85" t="s">
        <v>145</v>
      </c>
      <c r="D107" s="84" t="s">
        <v>132</v>
      </c>
      <c r="E107" s="84" t="s">
        <v>39</v>
      </c>
      <c r="F107" s="187">
        <v>1709.7</v>
      </c>
      <c r="G107" s="86" t="s">
        <v>29</v>
      </c>
      <c r="H107" s="87" t="s">
        <v>40</v>
      </c>
      <c r="I107" s="80"/>
      <c r="J107" s="80"/>
      <c r="K107" s="80"/>
      <c r="L107" s="62"/>
      <c r="M107" s="277"/>
      <c r="N107" s="81"/>
      <c r="O107" s="81"/>
      <c r="P107" s="81" t="s">
        <v>181</v>
      </c>
      <c r="Q107" s="182">
        <f>1.1*2.7</f>
        <v>2.9700000000000006</v>
      </c>
      <c r="R107" s="183" t="s">
        <v>206</v>
      </c>
      <c r="S107" s="81">
        <v>580000</v>
      </c>
      <c r="T107" s="82">
        <v>0.8</v>
      </c>
      <c r="U107" s="81">
        <f t="shared" si="3"/>
        <v>1378080.0000000005</v>
      </c>
      <c r="V107" s="81"/>
      <c r="W107" s="81"/>
      <c r="X107" s="81"/>
      <c r="Y107" s="81"/>
      <c r="Z107" s="81">
        <f t="shared" si="4"/>
        <v>1378080.0000000005</v>
      </c>
      <c r="AA107" s="280"/>
      <c r="AB107" s="91"/>
    </row>
    <row r="108" spans="2:28" s="75" customFormat="1" ht="118.5" customHeight="1">
      <c r="B108" s="266"/>
      <c r="C108" s="85" t="s">
        <v>145</v>
      </c>
      <c r="D108" s="84" t="s">
        <v>132</v>
      </c>
      <c r="E108" s="84" t="s">
        <v>39</v>
      </c>
      <c r="F108" s="187">
        <v>1709.7</v>
      </c>
      <c r="G108" s="86" t="s">
        <v>29</v>
      </c>
      <c r="H108" s="87" t="s">
        <v>40</v>
      </c>
      <c r="I108" s="80"/>
      <c r="J108" s="80"/>
      <c r="K108" s="80"/>
      <c r="L108" s="62"/>
      <c r="M108" s="277"/>
      <c r="N108" s="81"/>
      <c r="O108" s="81"/>
      <c r="P108" s="81" t="s">
        <v>182</v>
      </c>
      <c r="Q108" s="182">
        <f>5.1*4.5</f>
        <v>22.95</v>
      </c>
      <c r="R108" s="183" t="s">
        <v>164</v>
      </c>
      <c r="S108" s="81">
        <v>1460000</v>
      </c>
      <c r="T108" s="82">
        <v>0.8</v>
      </c>
      <c r="U108" s="81">
        <f t="shared" si="3"/>
        <v>26805600</v>
      </c>
      <c r="V108" s="81"/>
      <c r="W108" s="81"/>
      <c r="X108" s="81"/>
      <c r="Y108" s="81"/>
      <c r="Z108" s="81">
        <f t="shared" si="4"/>
        <v>26805600</v>
      </c>
      <c r="AA108" s="280"/>
      <c r="AB108" s="91" t="s">
        <v>113</v>
      </c>
    </row>
    <row r="109" spans="2:28" s="75" customFormat="1" ht="81" customHeight="1">
      <c r="B109" s="266"/>
      <c r="C109" s="85" t="s">
        <v>145</v>
      </c>
      <c r="D109" s="84" t="s">
        <v>132</v>
      </c>
      <c r="E109" s="84" t="s">
        <v>39</v>
      </c>
      <c r="F109" s="187">
        <v>1709.7</v>
      </c>
      <c r="G109" s="86" t="s">
        <v>29</v>
      </c>
      <c r="H109" s="87" t="s">
        <v>40</v>
      </c>
      <c r="I109" s="80"/>
      <c r="J109" s="80"/>
      <c r="K109" s="80"/>
      <c r="L109" s="62"/>
      <c r="M109" s="277"/>
      <c r="N109" s="81"/>
      <c r="O109" s="81"/>
      <c r="P109" s="81" t="s">
        <v>183</v>
      </c>
      <c r="Q109" s="182">
        <f>10.5*4.3</f>
        <v>45.15</v>
      </c>
      <c r="R109" s="183" t="s">
        <v>164</v>
      </c>
      <c r="S109" s="81">
        <v>1100000</v>
      </c>
      <c r="T109" s="82">
        <v>0.8</v>
      </c>
      <c r="U109" s="81">
        <f t="shared" si="3"/>
        <v>39732000</v>
      </c>
      <c r="V109" s="81"/>
      <c r="W109" s="81"/>
      <c r="X109" s="81"/>
      <c r="Y109" s="81"/>
      <c r="Z109" s="81">
        <f t="shared" si="4"/>
        <v>39732000</v>
      </c>
      <c r="AA109" s="280"/>
      <c r="AB109" s="91" t="s">
        <v>207</v>
      </c>
    </row>
    <row r="110" spans="2:28" s="75" customFormat="1" ht="45.75" customHeight="1">
      <c r="B110" s="266"/>
      <c r="C110" s="85" t="s">
        <v>145</v>
      </c>
      <c r="D110" s="84" t="s">
        <v>132</v>
      </c>
      <c r="E110" s="84" t="s">
        <v>39</v>
      </c>
      <c r="F110" s="187">
        <v>1709.7</v>
      </c>
      <c r="G110" s="86" t="s">
        <v>29</v>
      </c>
      <c r="H110" s="87" t="s">
        <v>40</v>
      </c>
      <c r="I110" s="80"/>
      <c r="J110" s="80"/>
      <c r="K110" s="80"/>
      <c r="L110" s="62"/>
      <c r="M110" s="277"/>
      <c r="N110" s="81"/>
      <c r="O110" s="81"/>
      <c r="P110" s="81" t="s">
        <v>186</v>
      </c>
      <c r="Q110" s="182">
        <f>10.5*2.5*0.1</f>
        <v>2.625</v>
      </c>
      <c r="R110" s="90" t="s">
        <v>205</v>
      </c>
      <c r="S110" s="81">
        <v>2110000</v>
      </c>
      <c r="T110" s="82">
        <v>0.8</v>
      </c>
      <c r="U110" s="81">
        <f t="shared" si="3"/>
        <v>4431000</v>
      </c>
      <c r="V110" s="81"/>
      <c r="W110" s="81"/>
      <c r="X110" s="81"/>
      <c r="Y110" s="81"/>
      <c r="Z110" s="81">
        <f t="shared" si="4"/>
        <v>4431000</v>
      </c>
      <c r="AA110" s="280"/>
      <c r="AB110" s="91"/>
    </row>
    <row r="111" spans="2:28" s="75" customFormat="1" ht="79.5" customHeight="1">
      <c r="B111" s="266"/>
      <c r="C111" s="85" t="s">
        <v>145</v>
      </c>
      <c r="D111" s="84" t="s">
        <v>132</v>
      </c>
      <c r="E111" s="84" t="s">
        <v>39</v>
      </c>
      <c r="F111" s="187">
        <v>1709.7</v>
      </c>
      <c r="G111" s="86" t="s">
        <v>29</v>
      </c>
      <c r="H111" s="87" t="s">
        <v>40</v>
      </c>
      <c r="I111" s="80"/>
      <c r="J111" s="80"/>
      <c r="K111" s="80"/>
      <c r="L111" s="62"/>
      <c r="M111" s="277"/>
      <c r="N111" s="81"/>
      <c r="O111" s="81"/>
      <c r="P111" s="81" t="s">
        <v>184</v>
      </c>
      <c r="Q111" s="182">
        <f>8.2*5.5</f>
        <v>45.099999999999994</v>
      </c>
      <c r="R111" s="183" t="s">
        <v>164</v>
      </c>
      <c r="S111" s="81">
        <v>1100000</v>
      </c>
      <c r="T111" s="82">
        <v>0.8</v>
      </c>
      <c r="U111" s="81">
        <f t="shared" si="3"/>
        <v>39687999.99999999</v>
      </c>
      <c r="V111" s="81"/>
      <c r="W111" s="81"/>
      <c r="X111" s="81"/>
      <c r="Y111" s="81"/>
      <c r="Z111" s="81">
        <f t="shared" si="4"/>
        <v>39687999.99999999</v>
      </c>
      <c r="AA111" s="280"/>
      <c r="AB111" s="91" t="s">
        <v>207</v>
      </c>
    </row>
    <row r="112" spans="2:28" s="75" customFormat="1" ht="81" customHeight="1">
      <c r="B112" s="266"/>
      <c r="C112" s="85" t="s">
        <v>145</v>
      </c>
      <c r="D112" s="84" t="s">
        <v>132</v>
      </c>
      <c r="E112" s="84" t="s">
        <v>39</v>
      </c>
      <c r="F112" s="187">
        <v>1709.7</v>
      </c>
      <c r="G112" s="86" t="s">
        <v>29</v>
      </c>
      <c r="H112" s="87" t="s">
        <v>40</v>
      </c>
      <c r="I112" s="80"/>
      <c r="J112" s="80"/>
      <c r="K112" s="80"/>
      <c r="L112" s="62"/>
      <c r="M112" s="277"/>
      <c r="N112" s="81"/>
      <c r="O112" s="81"/>
      <c r="P112" s="81" t="s">
        <v>187</v>
      </c>
      <c r="Q112" s="182">
        <f>0.8*0.8*0.9</f>
        <v>0.5760000000000002</v>
      </c>
      <c r="R112" s="90" t="s">
        <v>205</v>
      </c>
      <c r="S112" s="81">
        <v>1030000</v>
      </c>
      <c r="T112" s="82">
        <v>0.8</v>
      </c>
      <c r="U112" s="81">
        <f t="shared" si="3"/>
        <v>474624.00000000023</v>
      </c>
      <c r="V112" s="81"/>
      <c r="W112" s="81"/>
      <c r="X112" s="81"/>
      <c r="Y112" s="81"/>
      <c r="Z112" s="81">
        <f t="shared" si="4"/>
        <v>474624.00000000023</v>
      </c>
      <c r="AA112" s="280"/>
      <c r="AB112" s="91"/>
    </row>
    <row r="113" spans="2:28" s="75" customFormat="1" ht="83.25" customHeight="1">
      <c r="B113" s="266"/>
      <c r="C113" s="85" t="s">
        <v>145</v>
      </c>
      <c r="D113" s="84" t="s">
        <v>132</v>
      </c>
      <c r="E113" s="84" t="s">
        <v>39</v>
      </c>
      <c r="F113" s="187">
        <v>1709.7</v>
      </c>
      <c r="G113" s="86" t="s">
        <v>29</v>
      </c>
      <c r="H113" s="87" t="s">
        <v>40</v>
      </c>
      <c r="I113" s="80"/>
      <c r="J113" s="80"/>
      <c r="K113" s="80"/>
      <c r="L113" s="62"/>
      <c r="M113" s="277"/>
      <c r="N113" s="81"/>
      <c r="O113" s="81"/>
      <c r="P113" s="81" t="s">
        <v>188</v>
      </c>
      <c r="Q113" s="182">
        <f>3.3*2.5</f>
        <v>8.25</v>
      </c>
      <c r="R113" s="183" t="s">
        <v>164</v>
      </c>
      <c r="S113" s="81">
        <v>1460000</v>
      </c>
      <c r="T113" s="82">
        <v>0.8</v>
      </c>
      <c r="U113" s="81">
        <f aca="true" t="shared" si="5" ref="U113:U128">Q113*S113*T113</f>
        <v>9636000</v>
      </c>
      <c r="V113" s="81"/>
      <c r="W113" s="81"/>
      <c r="X113" s="81"/>
      <c r="Y113" s="81"/>
      <c r="Z113" s="81">
        <f t="shared" si="4"/>
        <v>9636000</v>
      </c>
      <c r="AA113" s="280"/>
      <c r="AB113" s="91" t="s">
        <v>113</v>
      </c>
    </row>
    <row r="114" spans="2:28" s="75" customFormat="1" ht="101.25" customHeight="1">
      <c r="B114" s="266"/>
      <c r="C114" s="85" t="s">
        <v>145</v>
      </c>
      <c r="D114" s="84" t="s">
        <v>132</v>
      </c>
      <c r="E114" s="84" t="s">
        <v>39</v>
      </c>
      <c r="F114" s="187">
        <v>1709.7</v>
      </c>
      <c r="G114" s="86" t="s">
        <v>29</v>
      </c>
      <c r="H114" s="87" t="s">
        <v>40</v>
      </c>
      <c r="I114" s="80"/>
      <c r="J114" s="80"/>
      <c r="K114" s="80"/>
      <c r="L114" s="62"/>
      <c r="M114" s="277"/>
      <c r="N114" s="81"/>
      <c r="O114" s="81"/>
      <c r="P114" s="81" t="s">
        <v>189</v>
      </c>
      <c r="Q114" s="182">
        <f>21*7.7</f>
        <v>161.70000000000002</v>
      </c>
      <c r="R114" s="183" t="s">
        <v>164</v>
      </c>
      <c r="S114" s="81">
        <v>890000</v>
      </c>
      <c r="T114" s="82">
        <v>0.8</v>
      </c>
      <c r="U114" s="81">
        <f t="shared" si="5"/>
        <v>115130400.00000003</v>
      </c>
      <c r="V114" s="81"/>
      <c r="W114" s="81"/>
      <c r="X114" s="81"/>
      <c r="Y114" s="81"/>
      <c r="Z114" s="81">
        <f t="shared" si="4"/>
        <v>115130400.00000003</v>
      </c>
      <c r="AA114" s="280"/>
      <c r="AB114" s="91" t="s">
        <v>208</v>
      </c>
    </row>
    <row r="115" spans="2:28" s="75" customFormat="1" ht="105" customHeight="1">
      <c r="B115" s="266"/>
      <c r="C115" s="85" t="s">
        <v>145</v>
      </c>
      <c r="D115" s="84" t="s">
        <v>132</v>
      </c>
      <c r="E115" s="84" t="s">
        <v>39</v>
      </c>
      <c r="F115" s="187">
        <v>1709.7</v>
      </c>
      <c r="G115" s="86" t="s">
        <v>29</v>
      </c>
      <c r="H115" s="87" t="s">
        <v>40</v>
      </c>
      <c r="I115" s="80"/>
      <c r="J115" s="80"/>
      <c r="K115" s="80"/>
      <c r="L115" s="62"/>
      <c r="M115" s="277"/>
      <c r="N115" s="81"/>
      <c r="O115" s="81"/>
      <c r="P115" s="81" t="s">
        <v>190</v>
      </c>
      <c r="Q115" s="182">
        <f>9.3*4.8</f>
        <v>44.64</v>
      </c>
      <c r="R115" s="183" t="s">
        <v>164</v>
      </c>
      <c r="S115" s="81">
        <v>1100000</v>
      </c>
      <c r="T115" s="82">
        <v>0.8</v>
      </c>
      <c r="U115" s="81">
        <f t="shared" si="5"/>
        <v>39283200</v>
      </c>
      <c r="V115" s="81"/>
      <c r="W115" s="81"/>
      <c r="X115" s="81"/>
      <c r="Y115" s="81"/>
      <c r="Z115" s="81">
        <f t="shared" si="4"/>
        <v>39283200</v>
      </c>
      <c r="AA115" s="280"/>
      <c r="AB115" s="91" t="s">
        <v>209</v>
      </c>
    </row>
    <row r="116" spans="2:28" s="75" customFormat="1" ht="65.25" customHeight="1">
      <c r="B116" s="266"/>
      <c r="C116" s="85" t="s">
        <v>145</v>
      </c>
      <c r="D116" s="84" t="s">
        <v>132</v>
      </c>
      <c r="E116" s="84" t="s">
        <v>39</v>
      </c>
      <c r="F116" s="187">
        <v>1709.7</v>
      </c>
      <c r="G116" s="86" t="s">
        <v>29</v>
      </c>
      <c r="H116" s="87" t="s">
        <v>40</v>
      </c>
      <c r="I116" s="80"/>
      <c r="J116" s="80"/>
      <c r="K116" s="80"/>
      <c r="L116" s="62"/>
      <c r="M116" s="277"/>
      <c r="N116" s="81"/>
      <c r="O116" s="81"/>
      <c r="P116" s="81" t="s">
        <v>191</v>
      </c>
      <c r="Q116" s="182">
        <f>7.4*4.6*0.07+12.5*4.1*0.07</f>
        <v>5.9703</v>
      </c>
      <c r="R116" s="90" t="s">
        <v>205</v>
      </c>
      <c r="S116" s="81">
        <v>2110000</v>
      </c>
      <c r="T116" s="82">
        <v>0.8</v>
      </c>
      <c r="U116" s="81">
        <f t="shared" si="5"/>
        <v>10077866.4</v>
      </c>
      <c r="V116" s="81"/>
      <c r="W116" s="81"/>
      <c r="X116" s="81"/>
      <c r="Y116" s="81"/>
      <c r="Z116" s="81">
        <f t="shared" si="4"/>
        <v>10077866.4</v>
      </c>
      <c r="AA116" s="280"/>
      <c r="AB116" s="91"/>
    </row>
    <row r="117" spans="2:28" s="75" customFormat="1" ht="105.75" customHeight="1">
      <c r="B117" s="266"/>
      <c r="C117" s="85" t="s">
        <v>145</v>
      </c>
      <c r="D117" s="84" t="s">
        <v>132</v>
      </c>
      <c r="E117" s="84" t="s">
        <v>39</v>
      </c>
      <c r="F117" s="187">
        <v>1709.7</v>
      </c>
      <c r="G117" s="86" t="s">
        <v>29</v>
      </c>
      <c r="H117" s="87" t="s">
        <v>40</v>
      </c>
      <c r="I117" s="80"/>
      <c r="J117" s="80"/>
      <c r="K117" s="80"/>
      <c r="L117" s="62"/>
      <c r="M117" s="277"/>
      <c r="N117" s="81"/>
      <c r="O117" s="81"/>
      <c r="P117" s="81" t="s">
        <v>192</v>
      </c>
      <c r="Q117" s="182">
        <f>8*4.3</f>
        <v>34.4</v>
      </c>
      <c r="R117" s="183" t="s">
        <v>164</v>
      </c>
      <c r="S117" s="81">
        <v>1100000</v>
      </c>
      <c r="T117" s="82">
        <v>0.8</v>
      </c>
      <c r="U117" s="81">
        <f t="shared" si="5"/>
        <v>30272000</v>
      </c>
      <c r="V117" s="81"/>
      <c r="W117" s="81"/>
      <c r="X117" s="81"/>
      <c r="Y117" s="81"/>
      <c r="Z117" s="81">
        <f t="shared" si="4"/>
        <v>30272000</v>
      </c>
      <c r="AA117" s="280"/>
      <c r="AB117" s="91" t="s">
        <v>207</v>
      </c>
    </row>
    <row r="118" spans="2:28" s="75" customFormat="1" ht="78" customHeight="1">
      <c r="B118" s="266"/>
      <c r="C118" s="85" t="s">
        <v>145</v>
      </c>
      <c r="D118" s="84" t="s">
        <v>132</v>
      </c>
      <c r="E118" s="84" t="s">
        <v>39</v>
      </c>
      <c r="F118" s="187">
        <v>1709.7</v>
      </c>
      <c r="G118" s="86" t="s">
        <v>29</v>
      </c>
      <c r="H118" s="87" t="s">
        <v>40</v>
      </c>
      <c r="I118" s="80"/>
      <c r="J118" s="80"/>
      <c r="K118" s="80"/>
      <c r="L118" s="62"/>
      <c r="M118" s="277"/>
      <c r="N118" s="81"/>
      <c r="O118" s="81"/>
      <c r="P118" s="81" t="s">
        <v>193</v>
      </c>
      <c r="Q118" s="182">
        <f>4.4*4.2</f>
        <v>18.480000000000004</v>
      </c>
      <c r="R118" s="183" t="s">
        <v>164</v>
      </c>
      <c r="S118" s="81">
        <v>890000</v>
      </c>
      <c r="T118" s="82">
        <v>0.8</v>
      </c>
      <c r="U118" s="81">
        <f t="shared" si="5"/>
        <v>13157760.000000004</v>
      </c>
      <c r="V118" s="81"/>
      <c r="W118" s="81"/>
      <c r="X118" s="81"/>
      <c r="Y118" s="81"/>
      <c r="Z118" s="81">
        <f t="shared" si="4"/>
        <v>13157760.000000004</v>
      </c>
      <c r="AA118" s="280"/>
      <c r="AB118" s="91" t="s">
        <v>210</v>
      </c>
    </row>
    <row r="119" spans="2:28" s="75" customFormat="1" ht="99" customHeight="1">
      <c r="B119" s="266"/>
      <c r="C119" s="85" t="s">
        <v>145</v>
      </c>
      <c r="D119" s="84" t="s">
        <v>132</v>
      </c>
      <c r="E119" s="84" t="s">
        <v>39</v>
      </c>
      <c r="F119" s="187">
        <v>1709.7</v>
      </c>
      <c r="G119" s="86" t="s">
        <v>29</v>
      </c>
      <c r="H119" s="87" t="s">
        <v>40</v>
      </c>
      <c r="I119" s="80"/>
      <c r="J119" s="80"/>
      <c r="K119" s="80"/>
      <c r="L119" s="62"/>
      <c r="M119" s="277"/>
      <c r="N119" s="81"/>
      <c r="O119" s="81"/>
      <c r="P119" s="81" t="s">
        <v>194</v>
      </c>
      <c r="Q119" s="182">
        <f>4.2*1.6*0.07+13*1.7*0.07+5*2*0.07</f>
        <v>2.7174</v>
      </c>
      <c r="R119" s="183" t="s">
        <v>164</v>
      </c>
      <c r="S119" s="81">
        <v>2110000</v>
      </c>
      <c r="T119" s="82">
        <v>0.8</v>
      </c>
      <c r="U119" s="81">
        <f t="shared" si="5"/>
        <v>4586971.2</v>
      </c>
      <c r="V119" s="81"/>
      <c r="W119" s="81"/>
      <c r="X119" s="81"/>
      <c r="Y119" s="81"/>
      <c r="Z119" s="81">
        <f t="shared" si="4"/>
        <v>4586971.2</v>
      </c>
      <c r="AA119" s="280"/>
      <c r="AB119" s="91"/>
    </row>
    <row r="120" spans="2:28" s="75" customFormat="1" ht="45.75" customHeight="1">
      <c r="B120" s="266"/>
      <c r="C120" s="85" t="s">
        <v>145</v>
      </c>
      <c r="D120" s="84" t="s">
        <v>132</v>
      </c>
      <c r="E120" s="84" t="s">
        <v>39</v>
      </c>
      <c r="F120" s="187">
        <v>1709.7</v>
      </c>
      <c r="G120" s="86" t="s">
        <v>29</v>
      </c>
      <c r="H120" s="87" t="s">
        <v>40</v>
      </c>
      <c r="I120" s="80"/>
      <c r="J120" s="80"/>
      <c r="K120" s="80"/>
      <c r="L120" s="62"/>
      <c r="M120" s="277"/>
      <c r="N120" s="81"/>
      <c r="O120" s="81"/>
      <c r="P120" s="81" t="s">
        <v>195</v>
      </c>
      <c r="Q120" s="182">
        <f>24*1.5</f>
        <v>36</v>
      </c>
      <c r="R120" s="183" t="s">
        <v>206</v>
      </c>
      <c r="S120" s="81">
        <v>430000</v>
      </c>
      <c r="T120" s="82">
        <v>0.8</v>
      </c>
      <c r="U120" s="81">
        <f t="shared" si="5"/>
        <v>12384000</v>
      </c>
      <c r="V120" s="81"/>
      <c r="W120" s="81"/>
      <c r="X120" s="81"/>
      <c r="Y120" s="81"/>
      <c r="Z120" s="81">
        <f t="shared" si="4"/>
        <v>12384000</v>
      </c>
      <c r="AA120" s="280"/>
      <c r="AB120" s="91"/>
    </row>
    <row r="121" spans="2:28" s="75" customFormat="1" ht="45.75" customHeight="1">
      <c r="B121" s="266"/>
      <c r="C121" s="85" t="s">
        <v>145</v>
      </c>
      <c r="D121" s="84" t="s">
        <v>132</v>
      </c>
      <c r="E121" s="84" t="s">
        <v>39</v>
      </c>
      <c r="F121" s="187">
        <v>1709.7</v>
      </c>
      <c r="G121" s="86" t="s">
        <v>29</v>
      </c>
      <c r="H121" s="87" t="s">
        <v>40</v>
      </c>
      <c r="I121" s="80"/>
      <c r="J121" s="80"/>
      <c r="K121" s="80"/>
      <c r="L121" s="62"/>
      <c r="M121" s="277"/>
      <c r="N121" s="81"/>
      <c r="O121" s="81"/>
      <c r="P121" s="81" t="s">
        <v>196</v>
      </c>
      <c r="Q121" s="182">
        <f>15*0.2</f>
        <v>3</v>
      </c>
      <c r="R121" s="183" t="s">
        <v>206</v>
      </c>
      <c r="S121" s="81">
        <v>580000</v>
      </c>
      <c r="T121" s="82">
        <v>0.8</v>
      </c>
      <c r="U121" s="81">
        <f t="shared" si="5"/>
        <v>1392000</v>
      </c>
      <c r="V121" s="81"/>
      <c r="W121" s="81"/>
      <c r="X121" s="81"/>
      <c r="Y121" s="81"/>
      <c r="Z121" s="81">
        <f t="shared" si="4"/>
        <v>1392000</v>
      </c>
      <c r="AA121" s="280"/>
      <c r="AB121" s="91"/>
    </row>
    <row r="122" spans="2:28" s="75" customFormat="1" ht="45.75" customHeight="1">
      <c r="B122" s="266"/>
      <c r="C122" s="85" t="s">
        <v>145</v>
      </c>
      <c r="D122" s="84" t="s">
        <v>132</v>
      </c>
      <c r="E122" s="84" t="s">
        <v>39</v>
      </c>
      <c r="F122" s="187">
        <v>1709.7</v>
      </c>
      <c r="G122" s="86" t="s">
        <v>29</v>
      </c>
      <c r="H122" s="87" t="s">
        <v>40</v>
      </c>
      <c r="I122" s="80"/>
      <c r="J122" s="80"/>
      <c r="K122" s="80"/>
      <c r="L122" s="62"/>
      <c r="M122" s="277"/>
      <c r="N122" s="81"/>
      <c r="O122" s="81"/>
      <c r="P122" s="81" t="s">
        <v>197</v>
      </c>
      <c r="Q122" s="182">
        <f>33*0.8</f>
        <v>26.400000000000002</v>
      </c>
      <c r="R122" s="183" t="s">
        <v>206</v>
      </c>
      <c r="S122" s="81">
        <v>430000</v>
      </c>
      <c r="T122" s="82">
        <v>0.8</v>
      </c>
      <c r="U122" s="81">
        <f t="shared" si="5"/>
        <v>9081600</v>
      </c>
      <c r="V122" s="81"/>
      <c r="W122" s="81"/>
      <c r="X122" s="81"/>
      <c r="Y122" s="81"/>
      <c r="Z122" s="81">
        <f t="shared" si="4"/>
        <v>9081600</v>
      </c>
      <c r="AA122" s="280"/>
      <c r="AB122" s="91"/>
    </row>
    <row r="123" spans="2:28" s="75" customFormat="1" ht="63.75" customHeight="1">
      <c r="B123" s="266"/>
      <c r="C123" s="85" t="s">
        <v>145</v>
      </c>
      <c r="D123" s="84" t="s">
        <v>132</v>
      </c>
      <c r="E123" s="84" t="s">
        <v>39</v>
      </c>
      <c r="F123" s="187">
        <v>1709.7</v>
      </c>
      <c r="G123" s="86" t="s">
        <v>29</v>
      </c>
      <c r="H123" s="87" t="s">
        <v>40</v>
      </c>
      <c r="I123" s="80"/>
      <c r="J123" s="80"/>
      <c r="K123" s="80"/>
      <c r="L123" s="62"/>
      <c r="M123" s="277"/>
      <c r="N123" s="81"/>
      <c r="O123" s="81"/>
      <c r="P123" s="81" t="s">
        <v>198</v>
      </c>
      <c r="Q123" s="182">
        <f>24*0.2+40*0.5</f>
        <v>24.8</v>
      </c>
      <c r="R123" s="183" t="s">
        <v>206</v>
      </c>
      <c r="S123" s="81">
        <v>580000</v>
      </c>
      <c r="T123" s="82">
        <v>0.8</v>
      </c>
      <c r="U123" s="81">
        <f t="shared" si="5"/>
        <v>11507200</v>
      </c>
      <c r="V123" s="81"/>
      <c r="W123" s="81"/>
      <c r="X123" s="81"/>
      <c r="Y123" s="81"/>
      <c r="Z123" s="81">
        <f t="shared" si="4"/>
        <v>11507200</v>
      </c>
      <c r="AA123" s="280"/>
      <c r="AB123" s="91"/>
    </row>
    <row r="124" spans="2:28" s="75" customFormat="1" ht="84.75" customHeight="1">
      <c r="B124" s="266"/>
      <c r="C124" s="85" t="s">
        <v>145</v>
      </c>
      <c r="D124" s="84" t="s">
        <v>132</v>
      </c>
      <c r="E124" s="84" t="s">
        <v>39</v>
      </c>
      <c r="F124" s="187">
        <v>1709.7</v>
      </c>
      <c r="G124" s="86" t="s">
        <v>29</v>
      </c>
      <c r="H124" s="87" t="s">
        <v>40</v>
      </c>
      <c r="I124" s="80"/>
      <c r="J124" s="80"/>
      <c r="K124" s="80"/>
      <c r="L124" s="62"/>
      <c r="M124" s="277"/>
      <c r="N124" s="81"/>
      <c r="O124" s="81"/>
      <c r="P124" s="81" t="s">
        <v>199</v>
      </c>
      <c r="Q124" s="182">
        <f>16*4.7</f>
        <v>75.2</v>
      </c>
      <c r="R124" s="183" t="s">
        <v>164</v>
      </c>
      <c r="S124" s="81">
        <v>240000</v>
      </c>
      <c r="T124" s="82">
        <v>0.8</v>
      </c>
      <c r="U124" s="81">
        <f t="shared" si="5"/>
        <v>14438400</v>
      </c>
      <c r="V124" s="81"/>
      <c r="W124" s="81"/>
      <c r="X124" s="81"/>
      <c r="Y124" s="81"/>
      <c r="Z124" s="81">
        <f t="shared" si="4"/>
        <v>14438400</v>
      </c>
      <c r="AA124" s="280"/>
      <c r="AB124" s="91" t="s">
        <v>252</v>
      </c>
    </row>
    <row r="125" spans="2:28" s="75" customFormat="1" ht="77.25" customHeight="1">
      <c r="B125" s="266"/>
      <c r="C125" s="85" t="s">
        <v>145</v>
      </c>
      <c r="D125" s="84" t="s">
        <v>132</v>
      </c>
      <c r="E125" s="84" t="s">
        <v>39</v>
      </c>
      <c r="F125" s="187">
        <v>1709.7</v>
      </c>
      <c r="G125" s="86" t="s">
        <v>29</v>
      </c>
      <c r="H125" s="87" t="s">
        <v>40</v>
      </c>
      <c r="I125" s="80"/>
      <c r="J125" s="80"/>
      <c r="K125" s="80"/>
      <c r="L125" s="62"/>
      <c r="M125" s="277"/>
      <c r="N125" s="81"/>
      <c r="O125" s="81"/>
      <c r="P125" s="81" t="s">
        <v>200</v>
      </c>
      <c r="Q125" s="182">
        <f>21*2*0.07+5.3*2.6*0.07</f>
        <v>3.9046000000000003</v>
      </c>
      <c r="R125" s="90" t="s">
        <v>205</v>
      </c>
      <c r="S125" s="81">
        <v>2110000</v>
      </c>
      <c r="T125" s="82">
        <v>0.8</v>
      </c>
      <c r="U125" s="81">
        <f t="shared" si="5"/>
        <v>6590964.800000001</v>
      </c>
      <c r="V125" s="81"/>
      <c r="W125" s="81"/>
      <c r="X125" s="81"/>
      <c r="Y125" s="81"/>
      <c r="Z125" s="81">
        <f t="shared" si="4"/>
        <v>6590964.800000001</v>
      </c>
      <c r="AA125" s="280"/>
      <c r="AB125" s="91"/>
    </row>
    <row r="126" spans="2:28" s="75" customFormat="1" ht="87.75" customHeight="1">
      <c r="B126" s="266"/>
      <c r="C126" s="85" t="s">
        <v>145</v>
      </c>
      <c r="D126" s="84" t="s">
        <v>132</v>
      </c>
      <c r="E126" s="84" t="s">
        <v>39</v>
      </c>
      <c r="F126" s="187">
        <v>1709.7</v>
      </c>
      <c r="G126" s="86" t="s">
        <v>29</v>
      </c>
      <c r="H126" s="87" t="s">
        <v>40</v>
      </c>
      <c r="I126" s="80"/>
      <c r="J126" s="80"/>
      <c r="K126" s="80"/>
      <c r="L126" s="62"/>
      <c r="M126" s="277"/>
      <c r="N126" s="81"/>
      <c r="O126" s="81"/>
      <c r="P126" s="81" t="s">
        <v>201</v>
      </c>
      <c r="Q126" s="182">
        <f>6.4*5.2</f>
        <v>33.28</v>
      </c>
      <c r="R126" s="183" t="s">
        <v>164</v>
      </c>
      <c r="S126" s="81">
        <v>240000</v>
      </c>
      <c r="T126" s="82">
        <v>0.8</v>
      </c>
      <c r="U126" s="81">
        <f t="shared" si="5"/>
        <v>6389760</v>
      </c>
      <c r="V126" s="81"/>
      <c r="W126" s="81"/>
      <c r="X126" s="81"/>
      <c r="Y126" s="81"/>
      <c r="Z126" s="81">
        <f t="shared" si="4"/>
        <v>6389760</v>
      </c>
      <c r="AA126" s="280"/>
      <c r="AB126" s="91" t="s">
        <v>252</v>
      </c>
    </row>
    <row r="127" spans="2:28" s="75" customFormat="1" ht="77.25" customHeight="1">
      <c r="B127" s="266"/>
      <c r="C127" s="85" t="s">
        <v>145</v>
      </c>
      <c r="D127" s="84" t="s">
        <v>132</v>
      </c>
      <c r="E127" s="84" t="s">
        <v>39</v>
      </c>
      <c r="F127" s="187">
        <v>1709.7</v>
      </c>
      <c r="G127" s="86" t="s">
        <v>29</v>
      </c>
      <c r="H127" s="87" t="s">
        <v>40</v>
      </c>
      <c r="I127" s="80"/>
      <c r="J127" s="80"/>
      <c r="K127" s="80"/>
      <c r="L127" s="62"/>
      <c r="M127" s="277"/>
      <c r="N127" s="81"/>
      <c r="O127" s="81"/>
      <c r="P127" s="81" t="s">
        <v>202</v>
      </c>
      <c r="Q127" s="182">
        <f>11.6*0.4</f>
        <v>4.64</v>
      </c>
      <c r="R127" s="183" t="s">
        <v>206</v>
      </c>
      <c r="S127" s="81">
        <v>430000</v>
      </c>
      <c r="T127" s="82">
        <v>0.8</v>
      </c>
      <c r="U127" s="81">
        <f t="shared" si="5"/>
        <v>1596160</v>
      </c>
      <c r="V127" s="81"/>
      <c r="W127" s="81"/>
      <c r="X127" s="81"/>
      <c r="Y127" s="81"/>
      <c r="Z127" s="81">
        <f t="shared" si="4"/>
        <v>1596160</v>
      </c>
      <c r="AA127" s="280"/>
      <c r="AB127" s="91"/>
    </row>
    <row r="128" spans="2:28" s="75" customFormat="1" ht="77.25" customHeight="1">
      <c r="B128" s="267"/>
      <c r="C128" s="85" t="s">
        <v>145</v>
      </c>
      <c r="D128" s="84" t="s">
        <v>132</v>
      </c>
      <c r="E128" s="84" t="s">
        <v>39</v>
      </c>
      <c r="F128" s="187">
        <v>1709.7</v>
      </c>
      <c r="G128" s="86" t="s">
        <v>29</v>
      </c>
      <c r="H128" s="87" t="s">
        <v>40</v>
      </c>
      <c r="I128" s="80"/>
      <c r="J128" s="80"/>
      <c r="K128" s="80"/>
      <c r="L128" s="62"/>
      <c r="M128" s="278"/>
      <c r="N128" s="81"/>
      <c r="O128" s="81"/>
      <c r="P128" s="81" t="s">
        <v>203</v>
      </c>
      <c r="Q128" s="182">
        <f>7.5*1.2*0.07+2*1.2*0.07</f>
        <v>0.7980000000000002</v>
      </c>
      <c r="R128" s="183" t="s">
        <v>164</v>
      </c>
      <c r="S128" s="81">
        <v>2110000</v>
      </c>
      <c r="T128" s="82">
        <v>0.8</v>
      </c>
      <c r="U128" s="81">
        <f t="shared" si="5"/>
        <v>1347024.0000000002</v>
      </c>
      <c r="V128" s="81"/>
      <c r="W128" s="81"/>
      <c r="X128" s="81"/>
      <c r="Y128" s="81"/>
      <c r="Z128" s="81">
        <f t="shared" si="4"/>
        <v>1347024.0000000002</v>
      </c>
      <c r="AA128" s="281"/>
      <c r="AB128" s="91"/>
    </row>
    <row r="129" spans="2:28" s="75" customFormat="1" ht="45.75" customHeight="1">
      <c r="B129" s="265">
        <v>9</v>
      </c>
      <c r="C129" s="85" t="s">
        <v>136</v>
      </c>
      <c r="D129" s="84" t="s">
        <v>137</v>
      </c>
      <c r="E129" s="84" t="s">
        <v>103</v>
      </c>
      <c r="F129" s="86">
        <v>823.5</v>
      </c>
      <c r="G129" s="86" t="s">
        <v>50</v>
      </c>
      <c r="H129" s="87" t="s">
        <v>40</v>
      </c>
      <c r="I129" s="86"/>
      <c r="J129" s="80">
        <v>823.5</v>
      </c>
      <c r="K129" s="80"/>
      <c r="L129" s="62">
        <f>I129+J129+K129</f>
        <v>823.5</v>
      </c>
      <c r="M129" s="276">
        <f>SUM(L129:L143)</f>
        <v>823.5</v>
      </c>
      <c r="N129" s="81">
        <v>55000</v>
      </c>
      <c r="O129" s="81">
        <f>L129*N129</f>
        <v>45292500</v>
      </c>
      <c r="P129" s="81" t="s">
        <v>121</v>
      </c>
      <c r="Q129" s="81">
        <v>2</v>
      </c>
      <c r="R129" s="90" t="s">
        <v>110</v>
      </c>
      <c r="S129" s="81">
        <v>2027000</v>
      </c>
      <c r="T129" s="82">
        <v>1</v>
      </c>
      <c r="U129" s="81">
        <f aca="true" t="shared" si="6" ref="U129:U144">Q129*S129*T129</f>
        <v>4054000</v>
      </c>
      <c r="V129" s="81">
        <f>L129*7000</f>
        <v>5764500</v>
      </c>
      <c r="W129" s="81">
        <f>L129*N129*3</f>
        <v>135877500</v>
      </c>
      <c r="X129" s="81">
        <v>1</v>
      </c>
      <c r="Y129" s="81">
        <f>X129*3500000</f>
        <v>3500000</v>
      </c>
      <c r="Z129" s="81">
        <f t="shared" si="4"/>
        <v>194488500</v>
      </c>
      <c r="AA129" s="279">
        <f>SUM(Z129:Z143)</f>
        <v>303213100</v>
      </c>
      <c r="AB129" s="91"/>
    </row>
    <row r="130" spans="2:28" s="75" customFormat="1" ht="45.75" customHeight="1">
      <c r="B130" s="266"/>
      <c r="C130" s="85" t="s">
        <v>136</v>
      </c>
      <c r="D130" s="84" t="s">
        <v>137</v>
      </c>
      <c r="E130" s="84" t="s">
        <v>103</v>
      </c>
      <c r="F130" s="86">
        <v>823.5</v>
      </c>
      <c r="G130" s="86" t="s">
        <v>50</v>
      </c>
      <c r="H130" s="87" t="s">
        <v>40</v>
      </c>
      <c r="I130" s="80"/>
      <c r="J130" s="80"/>
      <c r="K130" s="80"/>
      <c r="L130" s="62"/>
      <c r="M130" s="277"/>
      <c r="N130" s="81"/>
      <c r="O130" s="81"/>
      <c r="P130" s="81" t="s">
        <v>122</v>
      </c>
      <c r="Q130" s="81">
        <v>8</v>
      </c>
      <c r="R130" s="90" t="s">
        <v>110</v>
      </c>
      <c r="S130" s="81">
        <v>1091000</v>
      </c>
      <c r="T130" s="82">
        <v>1</v>
      </c>
      <c r="U130" s="81">
        <f t="shared" si="6"/>
        <v>8728000</v>
      </c>
      <c r="V130" s="81"/>
      <c r="W130" s="81"/>
      <c r="X130" s="81"/>
      <c r="Y130" s="81"/>
      <c r="Z130" s="81">
        <f t="shared" si="4"/>
        <v>8728000</v>
      </c>
      <c r="AA130" s="280"/>
      <c r="AB130" s="91"/>
    </row>
    <row r="131" spans="2:28" s="75" customFormat="1" ht="45.75" customHeight="1">
      <c r="B131" s="266"/>
      <c r="C131" s="85" t="s">
        <v>136</v>
      </c>
      <c r="D131" s="84" t="s">
        <v>137</v>
      </c>
      <c r="E131" s="84" t="s">
        <v>103</v>
      </c>
      <c r="F131" s="86">
        <v>823.5</v>
      </c>
      <c r="G131" s="86" t="s">
        <v>50</v>
      </c>
      <c r="H131" s="87" t="s">
        <v>40</v>
      </c>
      <c r="I131" s="80"/>
      <c r="J131" s="80"/>
      <c r="K131" s="80"/>
      <c r="L131" s="62"/>
      <c r="M131" s="277"/>
      <c r="N131" s="81"/>
      <c r="O131" s="81"/>
      <c r="P131" s="81" t="s">
        <v>153</v>
      </c>
      <c r="Q131" s="81">
        <v>15</v>
      </c>
      <c r="R131" s="90" t="s">
        <v>110</v>
      </c>
      <c r="S131" s="81">
        <v>1150000</v>
      </c>
      <c r="T131" s="82">
        <v>1</v>
      </c>
      <c r="U131" s="81">
        <f t="shared" si="6"/>
        <v>17250000</v>
      </c>
      <c r="V131" s="81"/>
      <c r="W131" s="81"/>
      <c r="X131" s="81"/>
      <c r="Y131" s="81"/>
      <c r="Z131" s="81">
        <f t="shared" si="4"/>
        <v>17250000</v>
      </c>
      <c r="AA131" s="280"/>
      <c r="AB131" s="91"/>
    </row>
    <row r="132" spans="2:28" s="75" customFormat="1" ht="45.75" customHeight="1">
      <c r="B132" s="266"/>
      <c r="C132" s="85" t="s">
        <v>136</v>
      </c>
      <c r="D132" s="84" t="s">
        <v>137</v>
      </c>
      <c r="E132" s="84" t="s">
        <v>103</v>
      </c>
      <c r="F132" s="86">
        <v>823.5</v>
      </c>
      <c r="G132" s="86" t="s">
        <v>50</v>
      </c>
      <c r="H132" s="87" t="s">
        <v>40</v>
      </c>
      <c r="I132" s="80"/>
      <c r="J132" s="80"/>
      <c r="K132" s="80"/>
      <c r="L132" s="62"/>
      <c r="M132" s="277"/>
      <c r="N132" s="81"/>
      <c r="O132" s="81"/>
      <c r="P132" s="81" t="s">
        <v>154</v>
      </c>
      <c r="Q132" s="81">
        <v>2</v>
      </c>
      <c r="R132" s="90" t="s">
        <v>110</v>
      </c>
      <c r="S132" s="81">
        <v>530000</v>
      </c>
      <c r="T132" s="82">
        <v>1</v>
      </c>
      <c r="U132" s="81">
        <f t="shared" si="6"/>
        <v>1060000</v>
      </c>
      <c r="V132" s="81"/>
      <c r="W132" s="81"/>
      <c r="X132" s="81"/>
      <c r="Y132" s="81"/>
      <c r="Z132" s="81">
        <f t="shared" si="4"/>
        <v>1060000</v>
      </c>
      <c r="AA132" s="280"/>
      <c r="AB132" s="91"/>
    </row>
    <row r="133" spans="2:28" s="65" customFormat="1" ht="45.75" customHeight="1">
      <c r="B133" s="266"/>
      <c r="C133" s="74" t="s">
        <v>136</v>
      </c>
      <c r="D133" s="71" t="s">
        <v>137</v>
      </c>
      <c r="E133" s="71" t="s">
        <v>103</v>
      </c>
      <c r="F133" s="72">
        <v>823.5</v>
      </c>
      <c r="G133" s="72" t="s">
        <v>50</v>
      </c>
      <c r="H133" s="73" t="s">
        <v>40</v>
      </c>
      <c r="I133" s="66"/>
      <c r="J133" s="66"/>
      <c r="K133" s="66"/>
      <c r="L133" s="62"/>
      <c r="M133" s="277"/>
      <c r="N133" s="67"/>
      <c r="O133" s="67"/>
      <c r="P133" s="67" t="s">
        <v>155</v>
      </c>
      <c r="Q133" s="67">
        <v>3</v>
      </c>
      <c r="R133" s="68" t="s">
        <v>110</v>
      </c>
      <c r="S133" s="67">
        <v>320000</v>
      </c>
      <c r="T133" s="69">
        <v>1</v>
      </c>
      <c r="U133" s="67">
        <f t="shared" si="6"/>
        <v>960000</v>
      </c>
      <c r="V133" s="67"/>
      <c r="W133" s="67"/>
      <c r="X133" s="67"/>
      <c r="Y133" s="67"/>
      <c r="Z133" s="81">
        <f t="shared" si="4"/>
        <v>960000</v>
      </c>
      <c r="AA133" s="280"/>
      <c r="AB133" s="70"/>
    </row>
    <row r="134" spans="2:28" s="75" customFormat="1" ht="45.75" customHeight="1">
      <c r="B134" s="266"/>
      <c r="C134" s="85" t="s">
        <v>136</v>
      </c>
      <c r="D134" s="84" t="s">
        <v>137</v>
      </c>
      <c r="E134" s="84" t="s">
        <v>103</v>
      </c>
      <c r="F134" s="86">
        <v>823.5</v>
      </c>
      <c r="G134" s="86" t="s">
        <v>50</v>
      </c>
      <c r="H134" s="87" t="s">
        <v>40</v>
      </c>
      <c r="I134" s="80"/>
      <c r="J134" s="80"/>
      <c r="K134" s="80"/>
      <c r="L134" s="62"/>
      <c r="M134" s="277"/>
      <c r="N134" s="81"/>
      <c r="O134" s="81"/>
      <c r="P134" s="81" t="s">
        <v>156</v>
      </c>
      <c r="Q134" s="81">
        <v>1</v>
      </c>
      <c r="R134" s="90" t="s">
        <v>110</v>
      </c>
      <c r="S134" s="81">
        <v>1990000</v>
      </c>
      <c r="T134" s="82">
        <v>1</v>
      </c>
      <c r="U134" s="81">
        <f t="shared" si="6"/>
        <v>1990000</v>
      </c>
      <c r="V134" s="81"/>
      <c r="W134" s="81"/>
      <c r="X134" s="81"/>
      <c r="Y134" s="81"/>
      <c r="Z134" s="81">
        <f t="shared" si="4"/>
        <v>1990000</v>
      </c>
      <c r="AA134" s="280"/>
      <c r="AB134" s="91"/>
    </row>
    <row r="135" spans="2:28" s="75" customFormat="1" ht="45.75" customHeight="1">
      <c r="B135" s="266"/>
      <c r="C135" s="85" t="s">
        <v>136</v>
      </c>
      <c r="D135" s="84" t="s">
        <v>137</v>
      </c>
      <c r="E135" s="84" t="s">
        <v>103</v>
      </c>
      <c r="F135" s="86">
        <v>823.5</v>
      </c>
      <c r="G135" s="86" t="s">
        <v>50</v>
      </c>
      <c r="H135" s="87" t="s">
        <v>40</v>
      </c>
      <c r="I135" s="80"/>
      <c r="J135" s="80"/>
      <c r="K135" s="80"/>
      <c r="L135" s="62"/>
      <c r="M135" s="277"/>
      <c r="N135" s="81"/>
      <c r="O135" s="81"/>
      <c r="P135" s="81" t="s">
        <v>146</v>
      </c>
      <c r="Q135" s="81">
        <v>12</v>
      </c>
      <c r="R135" s="90" t="s">
        <v>152</v>
      </c>
      <c r="S135" s="81">
        <v>87000</v>
      </c>
      <c r="T135" s="82">
        <v>1</v>
      </c>
      <c r="U135" s="81">
        <f t="shared" si="6"/>
        <v>1044000</v>
      </c>
      <c r="V135" s="81"/>
      <c r="W135" s="81"/>
      <c r="X135" s="81"/>
      <c r="Y135" s="81"/>
      <c r="Z135" s="81">
        <f t="shared" si="4"/>
        <v>1044000</v>
      </c>
      <c r="AA135" s="280"/>
      <c r="AB135" s="91"/>
    </row>
    <row r="136" spans="2:28" s="75" customFormat="1" ht="45.75" customHeight="1">
      <c r="B136" s="266"/>
      <c r="C136" s="85" t="s">
        <v>136</v>
      </c>
      <c r="D136" s="84" t="s">
        <v>137</v>
      </c>
      <c r="E136" s="84" t="s">
        <v>103</v>
      </c>
      <c r="F136" s="86">
        <v>823.5</v>
      </c>
      <c r="G136" s="86" t="s">
        <v>50</v>
      </c>
      <c r="H136" s="87" t="s">
        <v>40</v>
      </c>
      <c r="I136" s="80"/>
      <c r="J136" s="80"/>
      <c r="K136" s="80"/>
      <c r="L136" s="62"/>
      <c r="M136" s="277"/>
      <c r="N136" s="81"/>
      <c r="O136" s="81"/>
      <c r="P136" s="81" t="s">
        <v>168</v>
      </c>
      <c r="Q136" s="81">
        <v>5</v>
      </c>
      <c r="R136" s="90" t="s">
        <v>110</v>
      </c>
      <c r="S136" s="81">
        <v>15000</v>
      </c>
      <c r="T136" s="82">
        <v>1</v>
      </c>
      <c r="U136" s="81">
        <f t="shared" si="6"/>
        <v>75000</v>
      </c>
      <c r="V136" s="81"/>
      <c r="W136" s="81"/>
      <c r="X136" s="81"/>
      <c r="Y136" s="81"/>
      <c r="Z136" s="81">
        <f t="shared" si="4"/>
        <v>75000</v>
      </c>
      <c r="AA136" s="280"/>
      <c r="AB136" s="91"/>
    </row>
    <row r="137" spans="2:28" s="75" customFormat="1" ht="84" customHeight="1">
      <c r="B137" s="266"/>
      <c r="C137" s="85" t="s">
        <v>136</v>
      </c>
      <c r="D137" s="84" t="s">
        <v>137</v>
      </c>
      <c r="E137" s="84" t="s">
        <v>103</v>
      </c>
      <c r="F137" s="86">
        <v>823.5</v>
      </c>
      <c r="G137" s="86" t="s">
        <v>50</v>
      </c>
      <c r="H137" s="87" t="s">
        <v>40</v>
      </c>
      <c r="I137" s="80"/>
      <c r="J137" s="80"/>
      <c r="K137" s="80"/>
      <c r="L137" s="62"/>
      <c r="M137" s="277"/>
      <c r="N137" s="81"/>
      <c r="O137" s="81"/>
      <c r="P137" s="81" t="s">
        <v>157</v>
      </c>
      <c r="Q137" s="182">
        <f>5.5*4.5</f>
        <v>24.75</v>
      </c>
      <c r="R137" s="183" t="s">
        <v>164</v>
      </c>
      <c r="S137" s="81">
        <v>1460000</v>
      </c>
      <c r="T137" s="82">
        <v>0.8</v>
      </c>
      <c r="U137" s="81">
        <f t="shared" si="6"/>
        <v>28908000</v>
      </c>
      <c r="V137" s="81"/>
      <c r="W137" s="81"/>
      <c r="X137" s="81"/>
      <c r="Y137" s="81"/>
      <c r="Z137" s="81">
        <f t="shared" si="4"/>
        <v>28908000</v>
      </c>
      <c r="AA137" s="280"/>
      <c r="AB137" s="91" t="s">
        <v>113</v>
      </c>
    </row>
    <row r="138" spans="2:28" s="65" customFormat="1" ht="63" customHeight="1">
      <c r="B138" s="266"/>
      <c r="C138" s="74" t="s">
        <v>136</v>
      </c>
      <c r="D138" s="71" t="s">
        <v>137</v>
      </c>
      <c r="E138" s="71" t="s">
        <v>103</v>
      </c>
      <c r="F138" s="72">
        <v>823.5</v>
      </c>
      <c r="G138" s="72" t="s">
        <v>50</v>
      </c>
      <c r="H138" s="73" t="s">
        <v>40</v>
      </c>
      <c r="I138" s="66"/>
      <c r="J138" s="66"/>
      <c r="K138" s="66"/>
      <c r="L138" s="62"/>
      <c r="M138" s="277"/>
      <c r="N138" s="67"/>
      <c r="O138" s="67"/>
      <c r="P138" s="67" t="s">
        <v>267</v>
      </c>
      <c r="Q138" s="186">
        <v>20</v>
      </c>
      <c r="R138" s="223" t="s">
        <v>169</v>
      </c>
      <c r="S138" s="67">
        <v>170000</v>
      </c>
      <c r="T138" s="69">
        <v>0.8</v>
      </c>
      <c r="U138" s="67">
        <f t="shared" si="6"/>
        <v>2720000</v>
      </c>
      <c r="V138" s="67"/>
      <c r="W138" s="67"/>
      <c r="X138" s="67"/>
      <c r="Y138" s="67"/>
      <c r="Z138" s="81">
        <f t="shared" si="4"/>
        <v>2720000</v>
      </c>
      <c r="AA138" s="280"/>
      <c r="AB138" s="70"/>
    </row>
    <row r="139" spans="2:28" s="65" customFormat="1" ht="63" customHeight="1">
      <c r="B139" s="266"/>
      <c r="C139" s="85" t="s">
        <v>136</v>
      </c>
      <c r="D139" s="84" t="s">
        <v>137</v>
      </c>
      <c r="E139" s="84" t="s">
        <v>103</v>
      </c>
      <c r="F139" s="86">
        <v>823.5</v>
      </c>
      <c r="G139" s="86" t="s">
        <v>50</v>
      </c>
      <c r="H139" s="87" t="s">
        <v>40</v>
      </c>
      <c r="I139" s="66"/>
      <c r="J139" s="66"/>
      <c r="K139" s="66"/>
      <c r="L139" s="62"/>
      <c r="M139" s="277"/>
      <c r="N139" s="67"/>
      <c r="O139" s="67"/>
      <c r="P139" s="67" t="s">
        <v>259</v>
      </c>
      <c r="Q139" s="186">
        <f>6.6*4</f>
        <v>26.4</v>
      </c>
      <c r="R139" s="223" t="s">
        <v>260</v>
      </c>
      <c r="S139" s="67">
        <v>890000</v>
      </c>
      <c r="T139" s="69">
        <v>0.8</v>
      </c>
      <c r="U139" s="81">
        <f t="shared" si="6"/>
        <v>18796800</v>
      </c>
      <c r="V139" s="81"/>
      <c r="W139" s="81"/>
      <c r="X139" s="67"/>
      <c r="Y139" s="81"/>
      <c r="Z139" s="81">
        <f t="shared" si="4"/>
        <v>18796800</v>
      </c>
      <c r="AA139" s="280"/>
      <c r="AB139" s="70" t="s">
        <v>266</v>
      </c>
    </row>
    <row r="140" spans="2:28" s="75" customFormat="1" ht="63" customHeight="1">
      <c r="B140" s="266"/>
      <c r="C140" s="85" t="s">
        <v>136</v>
      </c>
      <c r="D140" s="84" t="s">
        <v>137</v>
      </c>
      <c r="E140" s="84" t="s">
        <v>103</v>
      </c>
      <c r="F140" s="86">
        <v>823.5</v>
      </c>
      <c r="G140" s="86" t="s">
        <v>50</v>
      </c>
      <c r="H140" s="87" t="s">
        <v>40</v>
      </c>
      <c r="I140" s="80"/>
      <c r="J140" s="80"/>
      <c r="K140" s="80"/>
      <c r="L140" s="62"/>
      <c r="M140" s="277"/>
      <c r="N140" s="81"/>
      <c r="O140" s="81"/>
      <c r="P140" s="67" t="s">
        <v>264</v>
      </c>
      <c r="Q140" s="182">
        <f>25*1.5</f>
        <v>37.5</v>
      </c>
      <c r="R140" s="223" t="s">
        <v>260</v>
      </c>
      <c r="S140" s="81">
        <v>480000</v>
      </c>
      <c r="T140" s="82">
        <v>0.8</v>
      </c>
      <c r="U140" s="81">
        <f t="shared" si="6"/>
        <v>14400000</v>
      </c>
      <c r="V140" s="81"/>
      <c r="W140" s="81"/>
      <c r="X140" s="81"/>
      <c r="Y140" s="81"/>
      <c r="Z140" s="81">
        <f aca="true" t="shared" si="7" ref="Z140:Z161">O140+U140+V140+W140+Y140</f>
        <v>14400000</v>
      </c>
      <c r="AA140" s="280"/>
      <c r="AB140" s="91"/>
    </row>
    <row r="141" spans="2:28" s="75" customFormat="1" ht="63" customHeight="1">
      <c r="B141" s="266"/>
      <c r="C141" s="85" t="s">
        <v>136</v>
      </c>
      <c r="D141" s="84" t="s">
        <v>137</v>
      </c>
      <c r="E141" s="84" t="s">
        <v>103</v>
      </c>
      <c r="F141" s="86">
        <v>823.5</v>
      </c>
      <c r="G141" s="86" t="s">
        <v>50</v>
      </c>
      <c r="H141" s="87" t="s">
        <v>40</v>
      </c>
      <c r="I141" s="80"/>
      <c r="J141" s="80"/>
      <c r="K141" s="80"/>
      <c r="L141" s="62"/>
      <c r="M141" s="277"/>
      <c r="N141" s="81"/>
      <c r="O141" s="81"/>
      <c r="P141" s="67" t="s">
        <v>265</v>
      </c>
      <c r="Q141" s="182">
        <f>4.6*1.5</f>
        <v>6.8999999999999995</v>
      </c>
      <c r="R141" s="223" t="s">
        <v>260</v>
      </c>
      <c r="S141" s="81">
        <v>430000</v>
      </c>
      <c r="T141" s="82">
        <v>0.8</v>
      </c>
      <c r="U141" s="81">
        <f t="shared" si="6"/>
        <v>2373600</v>
      </c>
      <c r="V141" s="81"/>
      <c r="W141" s="81"/>
      <c r="X141" s="81"/>
      <c r="Y141" s="81"/>
      <c r="Z141" s="81">
        <f t="shared" si="7"/>
        <v>2373600</v>
      </c>
      <c r="AA141" s="280"/>
      <c r="AB141" s="91"/>
    </row>
    <row r="142" spans="2:28" s="65" customFormat="1" ht="45.75" customHeight="1">
      <c r="B142" s="266"/>
      <c r="C142" s="74" t="s">
        <v>136</v>
      </c>
      <c r="D142" s="71" t="s">
        <v>137</v>
      </c>
      <c r="E142" s="71" t="s">
        <v>103</v>
      </c>
      <c r="F142" s="72">
        <v>823.5</v>
      </c>
      <c r="G142" s="72" t="s">
        <v>50</v>
      </c>
      <c r="H142" s="73" t="s">
        <v>40</v>
      </c>
      <c r="I142" s="66"/>
      <c r="J142" s="66"/>
      <c r="K142" s="66"/>
      <c r="L142" s="62"/>
      <c r="M142" s="277"/>
      <c r="N142" s="67"/>
      <c r="O142" s="67"/>
      <c r="P142" s="67" t="s">
        <v>261</v>
      </c>
      <c r="Q142" s="186">
        <f>22*1.3</f>
        <v>28.6</v>
      </c>
      <c r="R142" s="68" t="s">
        <v>263</v>
      </c>
      <c r="S142" s="67">
        <v>290000</v>
      </c>
      <c r="T142" s="69">
        <v>0.8</v>
      </c>
      <c r="U142" s="67">
        <f t="shared" si="6"/>
        <v>6635200</v>
      </c>
      <c r="V142" s="67"/>
      <c r="W142" s="67"/>
      <c r="X142" s="67"/>
      <c r="Y142" s="67"/>
      <c r="Z142" s="81">
        <f t="shared" si="7"/>
        <v>6635200</v>
      </c>
      <c r="AA142" s="280"/>
      <c r="AB142" s="70"/>
    </row>
    <row r="143" spans="2:28" s="65" customFormat="1" ht="45.75" customHeight="1">
      <c r="B143" s="267"/>
      <c r="C143" s="74" t="s">
        <v>136</v>
      </c>
      <c r="D143" s="71" t="s">
        <v>137</v>
      </c>
      <c r="E143" s="71" t="s">
        <v>103</v>
      </c>
      <c r="F143" s="72">
        <v>823.5</v>
      </c>
      <c r="G143" s="72" t="s">
        <v>50</v>
      </c>
      <c r="H143" s="73" t="s">
        <v>40</v>
      </c>
      <c r="I143" s="66"/>
      <c r="J143" s="66"/>
      <c r="K143" s="66"/>
      <c r="L143" s="62"/>
      <c r="M143" s="278"/>
      <c r="N143" s="67"/>
      <c r="O143" s="67"/>
      <c r="P143" s="67" t="s">
        <v>262</v>
      </c>
      <c r="Q143" s="186">
        <f>22*0.5</f>
        <v>11</v>
      </c>
      <c r="R143" s="68" t="s">
        <v>263</v>
      </c>
      <c r="S143" s="67">
        <v>430000</v>
      </c>
      <c r="T143" s="69">
        <v>0.8</v>
      </c>
      <c r="U143" s="67">
        <f t="shared" si="6"/>
        <v>3784000</v>
      </c>
      <c r="V143" s="67"/>
      <c r="W143" s="67"/>
      <c r="X143" s="67"/>
      <c r="Y143" s="67"/>
      <c r="Z143" s="81">
        <f t="shared" si="7"/>
        <v>3784000</v>
      </c>
      <c r="AA143" s="281"/>
      <c r="AB143" s="70"/>
    </row>
    <row r="144" spans="2:28" s="65" customFormat="1" ht="45.75" customHeight="1">
      <c r="B144" s="71">
        <v>10</v>
      </c>
      <c r="C144" s="220" t="s">
        <v>289</v>
      </c>
      <c r="D144" s="71" t="s">
        <v>290</v>
      </c>
      <c r="E144" s="71" t="s">
        <v>39</v>
      </c>
      <c r="F144" s="72">
        <v>100.2</v>
      </c>
      <c r="G144" s="72" t="s">
        <v>29</v>
      </c>
      <c r="H144" s="224" t="s">
        <v>40</v>
      </c>
      <c r="I144" s="72"/>
      <c r="J144" s="66">
        <v>48</v>
      </c>
      <c r="K144" s="66"/>
      <c r="L144" s="62">
        <f>I144+J144+K144</f>
        <v>48</v>
      </c>
      <c r="M144" s="228">
        <f>L144</f>
        <v>48</v>
      </c>
      <c r="N144" s="67">
        <v>55000</v>
      </c>
      <c r="O144" s="67">
        <f>L144*N144</f>
        <v>2640000</v>
      </c>
      <c r="P144" s="67" t="s">
        <v>109</v>
      </c>
      <c r="Q144" s="67">
        <v>10</v>
      </c>
      <c r="R144" s="68" t="s">
        <v>110</v>
      </c>
      <c r="S144" s="67">
        <v>163000</v>
      </c>
      <c r="T144" s="69">
        <v>1</v>
      </c>
      <c r="U144" s="67">
        <f t="shared" si="6"/>
        <v>1630000</v>
      </c>
      <c r="V144" s="81">
        <f>L144*7000</f>
        <v>336000</v>
      </c>
      <c r="W144" s="67">
        <f>L144*N144*3</f>
        <v>7920000</v>
      </c>
      <c r="X144" s="67"/>
      <c r="Y144" s="67"/>
      <c r="Z144" s="81">
        <f t="shared" si="7"/>
        <v>12526000</v>
      </c>
      <c r="AA144" s="229">
        <f>Z144</f>
        <v>12526000</v>
      </c>
      <c r="AB144" s="70" t="s">
        <v>291</v>
      </c>
    </row>
    <row r="145" spans="2:28" s="75" customFormat="1" ht="45.75" customHeight="1">
      <c r="B145" s="268">
        <v>11</v>
      </c>
      <c r="C145" s="77" t="s">
        <v>49</v>
      </c>
      <c r="D145" s="76" t="s">
        <v>130</v>
      </c>
      <c r="E145" s="76" t="s">
        <v>39</v>
      </c>
      <c r="F145" s="78">
        <v>303.7</v>
      </c>
      <c r="G145" s="78" t="s">
        <v>50</v>
      </c>
      <c r="H145" s="79" t="s">
        <v>40</v>
      </c>
      <c r="I145" s="78"/>
      <c r="J145" s="80">
        <v>303.7</v>
      </c>
      <c r="K145" s="80"/>
      <c r="L145" s="62">
        <f>I145+J145+K145</f>
        <v>303.7</v>
      </c>
      <c r="M145" s="276">
        <f>L145+L146+L147+L148+L149+L150</f>
        <v>377.2</v>
      </c>
      <c r="N145" s="81">
        <v>55000</v>
      </c>
      <c r="O145" s="81">
        <f>L145*N145</f>
        <v>16703500</v>
      </c>
      <c r="P145" s="81" t="s">
        <v>146</v>
      </c>
      <c r="Q145" s="81">
        <v>17</v>
      </c>
      <c r="R145" s="90" t="s">
        <v>152</v>
      </c>
      <c r="S145" s="81">
        <v>87000</v>
      </c>
      <c r="T145" s="82">
        <v>1</v>
      </c>
      <c r="U145" s="81">
        <f aca="true" t="shared" si="8" ref="U145:U161">Q145*S145*T145</f>
        <v>1479000</v>
      </c>
      <c r="V145" s="81">
        <f>L145*7000</f>
        <v>2125900</v>
      </c>
      <c r="W145" s="81">
        <f>L145*N145*3</f>
        <v>50110500</v>
      </c>
      <c r="X145" s="81"/>
      <c r="Y145" s="81"/>
      <c r="Z145" s="81">
        <f t="shared" si="7"/>
        <v>70418900</v>
      </c>
      <c r="AA145" s="279">
        <f>SUM(Z145:Z150)</f>
        <v>89895600</v>
      </c>
      <c r="AB145" s="91"/>
    </row>
    <row r="146" spans="2:28" s="75" customFormat="1" ht="45.75" customHeight="1">
      <c r="B146" s="269"/>
      <c r="C146" s="77" t="s">
        <v>49</v>
      </c>
      <c r="D146" s="76" t="s">
        <v>130</v>
      </c>
      <c r="E146" s="76" t="s">
        <v>39</v>
      </c>
      <c r="F146" s="78">
        <v>303.7</v>
      </c>
      <c r="G146" s="78" t="s">
        <v>50</v>
      </c>
      <c r="H146" s="79" t="s">
        <v>40</v>
      </c>
      <c r="I146" s="80"/>
      <c r="J146" s="80"/>
      <c r="K146" s="80"/>
      <c r="L146" s="62"/>
      <c r="M146" s="277"/>
      <c r="N146" s="81"/>
      <c r="O146" s="81"/>
      <c r="P146" s="81" t="s">
        <v>147</v>
      </c>
      <c r="Q146" s="81">
        <v>1</v>
      </c>
      <c r="R146" s="90" t="s">
        <v>110</v>
      </c>
      <c r="S146" s="81">
        <v>310000</v>
      </c>
      <c r="T146" s="82">
        <v>1</v>
      </c>
      <c r="U146" s="81">
        <f t="shared" si="8"/>
        <v>310000</v>
      </c>
      <c r="V146" s="81"/>
      <c r="W146" s="81"/>
      <c r="X146" s="81"/>
      <c r="Y146" s="81"/>
      <c r="Z146" s="81">
        <f t="shared" si="7"/>
        <v>310000</v>
      </c>
      <c r="AA146" s="280"/>
      <c r="AB146" s="91"/>
    </row>
    <row r="147" spans="2:28" s="75" customFormat="1" ht="45.75" customHeight="1">
      <c r="B147" s="269"/>
      <c r="C147" s="77" t="s">
        <v>49</v>
      </c>
      <c r="D147" s="76" t="s">
        <v>130</v>
      </c>
      <c r="E147" s="76" t="s">
        <v>39</v>
      </c>
      <c r="F147" s="78">
        <v>303.7</v>
      </c>
      <c r="G147" s="78" t="s">
        <v>50</v>
      </c>
      <c r="H147" s="79" t="s">
        <v>40</v>
      </c>
      <c r="I147" s="80"/>
      <c r="J147" s="80"/>
      <c r="K147" s="80"/>
      <c r="L147" s="62"/>
      <c r="M147" s="277"/>
      <c r="N147" s="81"/>
      <c r="O147" s="81"/>
      <c r="P147" s="81" t="s">
        <v>148</v>
      </c>
      <c r="Q147" s="81">
        <v>1</v>
      </c>
      <c r="R147" s="90" t="s">
        <v>110</v>
      </c>
      <c r="S147" s="81">
        <v>623000</v>
      </c>
      <c r="T147" s="82">
        <v>1</v>
      </c>
      <c r="U147" s="81">
        <f t="shared" si="8"/>
        <v>623000</v>
      </c>
      <c r="V147" s="81"/>
      <c r="W147" s="81"/>
      <c r="X147" s="81"/>
      <c r="Y147" s="81"/>
      <c r="Z147" s="81">
        <f t="shared" si="7"/>
        <v>623000</v>
      </c>
      <c r="AA147" s="280"/>
      <c r="AB147" s="91"/>
    </row>
    <row r="148" spans="2:28" s="75" customFormat="1" ht="45.75" customHeight="1">
      <c r="B148" s="269"/>
      <c r="C148" s="77" t="s">
        <v>49</v>
      </c>
      <c r="D148" s="76" t="s">
        <v>130</v>
      </c>
      <c r="E148" s="76" t="s">
        <v>39</v>
      </c>
      <c r="F148" s="78">
        <v>303.7</v>
      </c>
      <c r="G148" s="78" t="s">
        <v>50</v>
      </c>
      <c r="H148" s="79" t="s">
        <v>40</v>
      </c>
      <c r="I148" s="80"/>
      <c r="J148" s="80"/>
      <c r="K148" s="80"/>
      <c r="L148" s="62"/>
      <c r="M148" s="277"/>
      <c r="N148" s="81"/>
      <c r="O148" s="81"/>
      <c r="P148" s="81" t="s">
        <v>149</v>
      </c>
      <c r="Q148" s="80">
        <v>4</v>
      </c>
      <c r="R148" s="183" t="s">
        <v>206</v>
      </c>
      <c r="S148" s="81">
        <v>58300</v>
      </c>
      <c r="T148" s="82">
        <v>1</v>
      </c>
      <c r="U148" s="81">
        <f t="shared" si="8"/>
        <v>233200</v>
      </c>
      <c r="V148" s="81"/>
      <c r="W148" s="81"/>
      <c r="X148" s="81"/>
      <c r="Y148" s="81"/>
      <c r="Z148" s="81">
        <f t="shared" si="7"/>
        <v>233200</v>
      </c>
      <c r="AA148" s="280"/>
      <c r="AB148" s="91"/>
    </row>
    <row r="149" spans="2:28" s="75" customFormat="1" ht="45.75" customHeight="1">
      <c r="B149" s="269"/>
      <c r="C149" s="77" t="s">
        <v>49</v>
      </c>
      <c r="D149" s="76" t="s">
        <v>130</v>
      </c>
      <c r="E149" s="76" t="s">
        <v>39</v>
      </c>
      <c r="F149" s="78">
        <v>303.7</v>
      </c>
      <c r="G149" s="78" t="s">
        <v>50</v>
      </c>
      <c r="H149" s="79" t="s">
        <v>40</v>
      </c>
      <c r="I149" s="80"/>
      <c r="J149" s="80"/>
      <c r="K149" s="80"/>
      <c r="L149" s="62"/>
      <c r="M149" s="277"/>
      <c r="N149" s="81"/>
      <c r="O149" s="81"/>
      <c r="P149" s="81" t="s">
        <v>150</v>
      </c>
      <c r="Q149" s="81">
        <v>3</v>
      </c>
      <c r="R149" s="90" t="s">
        <v>110</v>
      </c>
      <c r="S149" s="81">
        <v>107000</v>
      </c>
      <c r="T149" s="82">
        <v>1</v>
      </c>
      <c r="U149" s="81">
        <f t="shared" si="8"/>
        <v>321000</v>
      </c>
      <c r="V149" s="81"/>
      <c r="W149" s="81"/>
      <c r="X149" s="81"/>
      <c r="Y149" s="81"/>
      <c r="Z149" s="81">
        <f t="shared" si="7"/>
        <v>321000</v>
      </c>
      <c r="AA149" s="280"/>
      <c r="AB149" s="91"/>
    </row>
    <row r="150" spans="2:28" s="75" customFormat="1" ht="45.75" customHeight="1">
      <c r="B150" s="270"/>
      <c r="C150" s="85" t="s">
        <v>49</v>
      </c>
      <c r="D150" s="84" t="s">
        <v>131</v>
      </c>
      <c r="E150" s="84" t="s">
        <v>39</v>
      </c>
      <c r="F150" s="86">
        <v>73.5</v>
      </c>
      <c r="G150" s="78" t="s">
        <v>50</v>
      </c>
      <c r="H150" s="87" t="s">
        <v>40</v>
      </c>
      <c r="I150" s="86"/>
      <c r="J150" s="80">
        <v>73.5</v>
      </c>
      <c r="K150" s="80"/>
      <c r="L150" s="62">
        <f>I150+J150+K150</f>
        <v>73.5</v>
      </c>
      <c r="M150" s="278"/>
      <c r="N150" s="81">
        <v>55000</v>
      </c>
      <c r="O150" s="81">
        <f>L150*N150</f>
        <v>4042500</v>
      </c>
      <c r="P150" s="81" t="s">
        <v>146</v>
      </c>
      <c r="Q150" s="81">
        <v>15</v>
      </c>
      <c r="R150" s="90" t="s">
        <v>152</v>
      </c>
      <c r="S150" s="81">
        <v>87000</v>
      </c>
      <c r="T150" s="82">
        <v>1</v>
      </c>
      <c r="U150" s="81">
        <f t="shared" si="8"/>
        <v>1305000</v>
      </c>
      <c r="V150" s="81">
        <f>L150*7000</f>
        <v>514500</v>
      </c>
      <c r="W150" s="81">
        <f>L150*N150*3</f>
        <v>12127500</v>
      </c>
      <c r="X150" s="81"/>
      <c r="Y150" s="81"/>
      <c r="Z150" s="81">
        <f t="shared" si="7"/>
        <v>17989500</v>
      </c>
      <c r="AA150" s="281"/>
      <c r="AB150" s="91"/>
    </row>
    <row r="151" spans="2:28" s="75" customFormat="1" ht="45.75" customHeight="1">
      <c r="B151" s="265">
        <v>12</v>
      </c>
      <c r="C151" s="85" t="s">
        <v>142</v>
      </c>
      <c r="D151" s="84" t="s">
        <v>133</v>
      </c>
      <c r="E151" s="84" t="s">
        <v>100</v>
      </c>
      <c r="F151" s="86">
        <v>129</v>
      </c>
      <c r="G151" s="78" t="s">
        <v>50</v>
      </c>
      <c r="H151" s="87" t="s">
        <v>40</v>
      </c>
      <c r="I151" s="86"/>
      <c r="J151" s="80">
        <v>129</v>
      </c>
      <c r="K151" s="80"/>
      <c r="L151" s="62">
        <f>I151+J151+K151</f>
        <v>129</v>
      </c>
      <c r="M151" s="276">
        <f>L151+L152+L153</f>
        <v>129</v>
      </c>
      <c r="N151" s="81">
        <v>55000</v>
      </c>
      <c r="O151" s="81">
        <f>L151*N151</f>
        <v>7095000</v>
      </c>
      <c r="P151" s="81" t="s">
        <v>122</v>
      </c>
      <c r="Q151" s="81">
        <v>5</v>
      </c>
      <c r="R151" s="90" t="s">
        <v>110</v>
      </c>
      <c r="S151" s="81">
        <v>1091000</v>
      </c>
      <c r="T151" s="82">
        <v>1</v>
      </c>
      <c r="U151" s="81">
        <f t="shared" si="8"/>
        <v>5455000</v>
      </c>
      <c r="V151" s="81">
        <f>L151*7000</f>
        <v>903000</v>
      </c>
      <c r="W151" s="81">
        <f>L151*N151*3</f>
        <v>21285000</v>
      </c>
      <c r="X151" s="81"/>
      <c r="Y151" s="81"/>
      <c r="Z151" s="81">
        <f t="shared" si="7"/>
        <v>34738000</v>
      </c>
      <c r="AA151" s="279">
        <f>Z151+Z152+Z153</f>
        <v>36652000</v>
      </c>
      <c r="AB151" s="91"/>
    </row>
    <row r="152" spans="2:28" s="75" customFormat="1" ht="45.75" customHeight="1">
      <c r="B152" s="267"/>
      <c r="C152" s="85" t="s">
        <v>142</v>
      </c>
      <c r="D152" s="84" t="s">
        <v>133</v>
      </c>
      <c r="E152" s="84" t="s">
        <v>100</v>
      </c>
      <c r="F152" s="86">
        <v>129</v>
      </c>
      <c r="G152" s="78" t="s">
        <v>50</v>
      </c>
      <c r="H152" s="87" t="s">
        <v>40</v>
      </c>
      <c r="I152" s="80"/>
      <c r="J152" s="80"/>
      <c r="K152" s="80"/>
      <c r="L152" s="62"/>
      <c r="M152" s="277"/>
      <c r="N152" s="81"/>
      <c r="O152" s="81"/>
      <c r="P152" s="81" t="s">
        <v>146</v>
      </c>
      <c r="Q152" s="81">
        <v>22</v>
      </c>
      <c r="R152" s="90" t="s">
        <v>152</v>
      </c>
      <c r="S152" s="81">
        <v>87000</v>
      </c>
      <c r="T152" s="82">
        <v>1</v>
      </c>
      <c r="U152" s="81">
        <f t="shared" si="8"/>
        <v>1914000</v>
      </c>
      <c r="V152" s="81"/>
      <c r="W152" s="81"/>
      <c r="X152" s="81"/>
      <c r="Y152" s="81"/>
      <c r="Z152" s="81">
        <f t="shared" si="7"/>
        <v>1914000</v>
      </c>
      <c r="AA152" s="280"/>
      <c r="AB152" s="91"/>
    </row>
    <row r="153" spans="2:28" s="75" customFormat="1" ht="45.75" customHeight="1">
      <c r="B153" s="84"/>
      <c r="C153" s="85" t="s">
        <v>142</v>
      </c>
      <c r="D153" s="84" t="s">
        <v>133</v>
      </c>
      <c r="E153" s="84" t="s">
        <v>100</v>
      </c>
      <c r="F153" s="86">
        <v>129</v>
      </c>
      <c r="G153" s="86" t="s">
        <v>50</v>
      </c>
      <c r="H153" s="87" t="s">
        <v>40</v>
      </c>
      <c r="I153" s="80"/>
      <c r="J153" s="80"/>
      <c r="K153" s="80"/>
      <c r="L153" s="62"/>
      <c r="M153" s="278"/>
      <c r="N153" s="81"/>
      <c r="O153" s="81"/>
      <c r="P153" s="81" t="s">
        <v>146</v>
      </c>
      <c r="Q153" s="81">
        <v>10</v>
      </c>
      <c r="R153" s="90" t="s">
        <v>152</v>
      </c>
      <c r="S153" s="81"/>
      <c r="T153" s="82"/>
      <c r="U153" s="81"/>
      <c r="V153" s="81"/>
      <c r="W153" s="81"/>
      <c r="X153" s="81"/>
      <c r="Y153" s="81"/>
      <c r="Z153" s="81"/>
      <c r="AA153" s="281"/>
      <c r="AB153" s="91" t="s">
        <v>125</v>
      </c>
    </row>
    <row r="154" spans="2:28" s="75" customFormat="1" ht="45.75" customHeight="1">
      <c r="B154" s="265">
        <v>13</v>
      </c>
      <c r="C154" s="85" t="s">
        <v>134</v>
      </c>
      <c r="D154" s="84" t="s">
        <v>135</v>
      </c>
      <c r="E154" s="84" t="s">
        <v>103</v>
      </c>
      <c r="F154" s="86">
        <v>787.1</v>
      </c>
      <c r="G154" s="86" t="s">
        <v>50</v>
      </c>
      <c r="H154" s="87" t="s">
        <v>40</v>
      </c>
      <c r="I154" s="86"/>
      <c r="J154" s="80">
        <v>787.1</v>
      </c>
      <c r="K154" s="80"/>
      <c r="L154" s="62">
        <f>I154+J154+K154</f>
        <v>787.1</v>
      </c>
      <c r="M154" s="276">
        <f>SUM(L154:L160)</f>
        <v>787.1</v>
      </c>
      <c r="N154" s="81">
        <v>55000</v>
      </c>
      <c r="O154" s="81">
        <f>L154*N154</f>
        <v>43290500</v>
      </c>
      <c r="P154" s="81" t="s">
        <v>158</v>
      </c>
      <c r="Q154" s="81">
        <v>15</v>
      </c>
      <c r="R154" s="90" t="s">
        <v>110</v>
      </c>
      <c r="S154" s="81">
        <v>300000</v>
      </c>
      <c r="T154" s="82">
        <v>1</v>
      </c>
      <c r="U154" s="81">
        <f t="shared" si="8"/>
        <v>4500000</v>
      </c>
      <c r="V154" s="81">
        <f>L154*7000</f>
        <v>5509700</v>
      </c>
      <c r="W154" s="81">
        <f>L154*N154*3</f>
        <v>129871500</v>
      </c>
      <c r="X154" s="81">
        <v>1</v>
      </c>
      <c r="Y154" s="81">
        <f>X154*3500000</f>
        <v>3500000</v>
      </c>
      <c r="Z154" s="81">
        <f t="shared" si="7"/>
        <v>186671700</v>
      </c>
      <c r="AA154" s="279">
        <f>SUM(Z154:Z160)</f>
        <v>195933700</v>
      </c>
      <c r="AB154" s="91"/>
    </row>
    <row r="155" spans="2:28" s="75" customFormat="1" ht="45.75" customHeight="1">
      <c r="B155" s="266"/>
      <c r="C155" s="85" t="s">
        <v>134</v>
      </c>
      <c r="D155" s="84" t="s">
        <v>135</v>
      </c>
      <c r="E155" s="84" t="s">
        <v>103</v>
      </c>
      <c r="F155" s="86">
        <v>787.1</v>
      </c>
      <c r="G155" s="86" t="s">
        <v>50</v>
      </c>
      <c r="H155" s="87" t="s">
        <v>40</v>
      </c>
      <c r="I155" s="80"/>
      <c r="J155" s="80"/>
      <c r="K155" s="80"/>
      <c r="L155" s="62"/>
      <c r="M155" s="277"/>
      <c r="N155" s="81"/>
      <c r="O155" s="81"/>
      <c r="P155" s="81" t="s">
        <v>159</v>
      </c>
      <c r="Q155" s="81">
        <v>3</v>
      </c>
      <c r="R155" s="90" t="s">
        <v>110</v>
      </c>
      <c r="S155" s="81">
        <v>555000</v>
      </c>
      <c r="T155" s="82">
        <v>1</v>
      </c>
      <c r="U155" s="81">
        <f t="shared" si="8"/>
        <v>1665000</v>
      </c>
      <c r="V155" s="81"/>
      <c r="W155" s="81"/>
      <c r="X155" s="81"/>
      <c r="Y155" s="81"/>
      <c r="Z155" s="81">
        <f t="shared" si="7"/>
        <v>1665000</v>
      </c>
      <c r="AA155" s="280"/>
      <c r="AB155" s="91"/>
    </row>
    <row r="156" spans="2:28" s="75" customFormat="1" ht="45.75" customHeight="1">
      <c r="B156" s="266"/>
      <c r="C156" s="85" t="s">
        <v>134</v>
      </c>
      <c r="D156" s="84" t="s">
        <v>135</v>
      </c>
      <c r="E156" s="84" t="s">
        <v>103</v>
      </c>
      <c r="F156" s="86">
        <v>787.1</v>
      </c>
      <c r="G156" s="86" t="s">
        <v>50</v>
      </c>
      <c r="H156" s="87" t="s">
        <v>40</v>
      </c>
      <c r="I156" s="80"/>
      <c r="J156" s="80"/>
      <c r="K156" s="80"/>
      <c r="L156" s="62"/>
      <c r="M156" s="277"/>
      <c r="N156" s="81"/>
      <c r="O156" s="81"/>
      <c r="P156" s="81" t="s">
        <v>160</v>
      </c>
      <c r="Q156" s="81">
        <v>40</v>
      </c>
      <c r="R156" s="90" t="s">
        <v>110</v>
      </c>
      <c r="S156" s="81">
        <v>34000</v>
      </c>
      <c r="T156" s="82">
        <v>1</v>
      </c>
      <c r="U156" s="81">
        <f t="shared" si="8"/>
        <v>1360000</v>
      </c>
      <c r="V156" s="81"/>
      <c r="W156" s="81"/>
      <c r="X156" s="81"/>
      <c r="Y156" s="81"/>
      <c r="Z156" s="81">
        <f t="shared" si="7"/>
        <v>1360000</v>
      </c>
      <c r="AA156" s="280"/>
      <c r="AB156" s="91"/>
    </row>
    <row r="157" spans="2:28" s="75" customFormat="1" ht="45.75" customHeight="1">
      <c r="B157" s="266"/>
      <c r="C157" s="85" t="s">
        <v>134</v>
      </c>
      <c r="D157" s="84" t="s">
        <v>135</v>
      </c>
      <c r="E157" s="84" t="s">
        <v>103</v>
      </c>
      <c r="F157" s="86">
        <v>787.1</v>
      </c>
      <c r="G157" s="86" t="s">
        <v>50</v>
      </c>
      <c r="H157" s="87" t="s">
        <v>40</v>
      </c>
      <c r="I157" s="80"/>
      <c r="J157" s="80"/>
      <c r="K157" s="80"/>
      <c r="L157" s="62"/>
      <c r="M157" s="277"/>
      <c r="N157" s="81"/>
      <c r="O157" s="81"/>
      <c r="P157" s="81" t="s">
        <v>163</v>
      </c>
      <c r="Q157" s="81">
        <v>3</v>
      </c>
      <c r="R157" s="90" t="s">
        <v>110</v>
      </c>
      <c r="S157" s="81">
        <v>1559000</v>
      </c>
      <c r="T157" s="82">
        <v>1</v>
      </c>
      <c r="U157" s="81">
        <f t="shared" si="8"/>
        <v>4677000</v>
      </c>
      <c r="V157" s="81"/>
      <c r="W157" s="81"/>
      <c r="X157" s="81"/>
      <c r="Y157" s="81"/>
      <c r="Z157" s="81">
        <f t="shared" si="7"/>
        <v>4677000</v>
      </c>
      <c r="AA157" s="280"/>
      <c r="AB157" s="91"/>
    </row>
    <row r="158" spans="2:28" s="75" customFormat="1" ht="45.75" customHeight="1">
      <c r="B158" s="266"/>
      <c r="C158" s="85" t="s">
        <v>134</v>
      </c>
      <c r="D158" s="84" t="s">
        <v>135</v>
      </c>
      <c r="E158" s="84" t="s">
        <v>103</v>
      </c>
      <c r="F158" s="86">
        <v>787.1</v>
      </c>
      <c r="G158" s="86" t="s">
        <v>50</v>
      </c>
      <c r="H158" s="87" t="s">
        <v>40</v>
      </c>
      <c r="I158" s="80"/>
      <c r="J158" s="80"/>
      <c r="K158" s="80"/>
      <c r="L158" s="62"/>
      <c r="M158" s="277"/>
      <c r="N158" s="81"/>
      <c r="O158" s="81"/>
      <c r="P158" s="81" t="s">
        <v>155</v>
      </c>
      <c r="Q158" s="81">
        <v>1</v>
      </c>
      <c r="R158" s="90" t="s">
        <v>110</v>
      </c>
      <c r="S158" s="81">
        <v>320000</v>
      </c>
      <c r="T158" s="82">
        <v>1</v>
      </c>
      <c r="U158" s="81">
        <f t="shared" si="8"/>
        <v>320000</v>
      </c>
      <c r="V158" s="81"/>
      <c r="W158" s="81"/>
      <c r="X158" s="81"/>
      <c r="Y158" s="81"/>
      <c r="Z158" s="81">
        <f t="shared" si="7"/>
        <v>320000</v>
      </c>
      <c r="AA158" s="280"/>
      <c r="AB158" s="91"/>
    </row>
    <row r="159" spans="2:28" s="75" customFormat="1" ht="45.75" customHeight="1">
      <c r="B159" s="266"/>
      <c r="C159" s="85" t="s">
        <v>134</v>
      </c>
      <c r="D159" s="84" t="s">
        <v>135</v>
      </c>
      <c r="E159" s="84" t="s">
        <v>103</v>
      </c>
      <c r="F159" s="86">
        <v>787.1</v>
      </c>
      <c r="G159" s="86" t="s">
        <v>50</v>
      </c>
      <c r="H159" s="87" t="s">
        <v>40</v>
      </c>
      <c r="I159" s="80"/>
      <c r="J159" s="80"/>
      <c r="K159" s="80"/>
      <c r="L159" s="62"/>
      <c r="M159" s="277"/>
      <c r="N159" s="81"/>
      <c r="O159" s="81"/>
      <c r="P159" s="81" t="s">
        <v>162</v>
      </c>
      <c r="Q159" s="81">
        <v>4</v>
      </c>
      <c r="R159" s="90" t="s">
        <v>110</v>
      </c>
      <c r="S159" s="81">
        <v>310000</v>
      </c>
      <c r="T159" s="82">
        <v>1</v>
      </c>
      <c r="U159" s="81">
        <f t="shared" si="8"/>
        <v>1240000</v>
      </c>
      <c r="V159" s="81"/>
      <c r="W159" s="81"/>
      <c r="X159" s="81"/>
      <c r="Y159" s="81"/>
      <c r="Z159" s="81">
        <f t="shared" si="7"/>
        <v>1240000</v>
      </c>
      <c r="AA159" s="280"/>
      <c r="AB159" s="91"/>
    </row>
    <row r="160" spans="2:28" s="75" customFormat="1" ht="72" customHeight="1">
      <c r="B160" s="267"/>
      <c r="C160" s="85" t="s">
        <v>134</v>
      </c>
      <c r="D160" s="84" t="s">
        <v>135</v>
      </c>
      <c r="E160" s="84" t="s">
        <v>103</v>
      </c>
      <c r="F160" s="86">
        <v>787.1</v>
      </c>
      <c r="G160" s="86" t="s">
        <v>50</v>
      </c>
      <c r="H160" s="87" t="s">
        <v>40</v>
      </c>
      <c r="I160" s="80"/>
      <c r="J160" s="80"/>
      <c r="K160" s="80"/>
      <c r="L160" s="62"/>
      <c r="M160" s="278"/>
      <c r="N160" s="81"/>
      <c r="O160" s="81"/>
      <c r="P160" s="81" t="s">
        <v>161</v>
      </c>
      <c r="Q160" s="80">
        <f>3.5*2</f>
        <v>7</v>
      </c>
      <c r="R160" s="183" t="s">
        <v>164</v>
      </c>
      <c r="S160" s="81"/>
      <c r="T160" s="82"/>
      <c r="U160" s="81"/>
      <c r="V160" s="81"/>
      <c r="W160" s="81"/>
      <c r="X160" s="81"/>
      <c r="Y160" s="81"/>
      <c r="Z160" s="81"/>
      <c r="AA160" s="281"/>
      <c r="AB160" s="91" t="s">
        <v>251</v>
      </c>
    </row>
    <row r="161" spans="2:28" s="75" customFormat="1" ht="45.75" customHeight="1">
      <c r="B161" s="84">
        <v>14</v>
      </c>
      <c r="C161" s="85" t="s">
        <v>140</v>
      </c>
      <c r="D161" s="84" t="s">
        <v>141</v>
      </c>
      <c r="E161" s="84" t="s">
        <v>100</v>
      </c>
      <c r="F161" s="86">
        <v>73.6</v>
      </c>
      <c r="G161" s="86" t="s">
        <v>1</v>
      </c>
      <c r="H161" s="87" t="s">
        <v>40</v>
      </c>
      <c r="I161" s="86">
        <v>25.3</v>
      </c>
      <c r="J161" s="80"/>
      <c r="K161" s="80"/>
      <c r="L161" s="62">
        <f>I161+J161+K161</f>
        <v>25.3</v>
      </c>
      <c r="M161" s="184">
        <f>L161</f>
        <v>25.3</v>
      </c>
      <c r="N161" s="81">
        <v>60000</v>
      </c>
      <c r="O161" s="81">
        <f>L161*N161</f>
        <v>1518000</v>
      </c>
      <c r="P161" s="81" t="s">
        <v>6</v>
      </c>
      <c r="Q161" s="80">
        <f>L161</f>
        <v>25.3</v>
      </c>
      <c r="R161" s="90" t="s">
        <v>246</v>
      </c>
      <c r="S161" s="81">
        <v>9500</v>
      </c>
      <c r="T161" s="82">
        <v>1</v>
      </c>
      <c r="U161" s="81">
        <f t="shared" si="8"/>
        <v>240350</v>
      </c>
      <c r="V161" s="81">
        <f>L161*10000</f>
        <v>253000</v>
      </c>
      <c r="W161" s="81">
        <f>L161*N161*3</f>
        <v>4554000</v>
      </c>
      <c r="X161" s="81"/>
      <c r="Y161" s="81"/>
      <c r="Z161" s="81">
        <f t="shared" si="7"/>
        <v>6565350</v>
      </c>
      <c r="AA161" s="83">
        <f>Z161</f>
        <v>6565350</v>
      </c>
      <c r="AB161" s="91"/>
    </row>
    <row r="162" spans="1:28" s="188" customFormat="1" ht="18.75">
      <c r="A162" s="88"/>
      <c r="B162" s="197"/>
      <c r="C162" s="64"/>
      <c r="D162" s="198"/>
      <c r="E162" s="198"/>
      <c r="F162" s="198"/>
      <c r="G162" s="198"/>
      <c r="H162" s="199"/>
      <c r="I162" s="198"/>
      <c r="J162" s="198"/>
      <c r="K162" s="198"/>
      <c r="L162" s="200"/>
      <c r="M162" s="200"/>
      <c r="N162" s="198"/>
      <c r="O162" s="201"/>
      <c r="P162" s="202"/>
      <c r="Q162" s="203"/>
      <c r="R162" s="203"/>
      <c r="S162" s="203"/>
      <c r="T162" s="203"/>
      <c r="U162" s="204"/>
      <c r="V162" s="204"/>
      <c r="W162" s="204"/>
      <c r="X162" s="204"/>
      <c r="Y162" s="204"/>
      <c r="Z162" s="205"/>
      <c r="AA162" s="206"/>
      <c r="AB162" s="207"/>
    </row>
    <row r="163" spans="1:28" s="188" customFormat="1" ht="25.5" customHeight="1">
      <c r="A163" s="208"/>
      <c r="B163" s="197"/>
      <c r="C163" s="64"/>
      <c r="D163" s="198"/>
      <c r="E163" s="198"/>
      <c r="F163" s="198"/>
      <c r="G163" s="198"/>
      <c r="H163" s="199"/>
      <c r="I163" s="198"/>
      <c r="J163" s="198"/>
      <c r="K163" s="198"/>
      <c r="L163" s="200"/>
      <c r="M163" s="200"/>
      <c r="N163" s="198"/>
      <c r="O163" s="201"/>
      <c r="P163" s="202"/>
      <c r="Q163" s="203"/>
      <c r="R163" s="203"/>
      <c r="S163" s="203"/>
      <c r="T163" s="203"/>
      <c r="U163" s="204"/>
      <c r="V163" s="316" t="s">
        <v>282</v>
      </c>
      <c r="W163" s="316"/>
      <c r="X163" s="316"/>
      <c r="Y163" s="316"/>
      <c r="Z163" s="316"/>
      <c r="AA163" s="206"/>
      <c r="AB163" s="207"/>
    </row>
    <row r="164" spans="1:28" s="188" customFormat="1" ht="22.5">
      <c r="A164" s="208"/>
      <c r="B164" s="197"/>
      <c r="C164" s="64"/>
      <c r="D164" s="198"/>
      <c r="E164" s="198"/>
      <c r="F164" s="198"/>
      <c r="G164" s="198"/>
      <c r="H164" s="199"/>
      <c r="I164" s="198"/>
      <c r="J164" s="198"/>
      <c r="K164" s="198"/>
      <c r="L164" s="200"/>
      <c r="M164" s="200"/>
      <c r="N164" s="198"/>
      <c r="O164" s="201"/>
      <c r="P164" s="202"/>
      <c r="Q164" s="203"/>
      <c r="R164" s="203"/>
      <c r="S164" s="203"/>
      <c r="T164" s="203"/>
      <c r="U164" s="204"/>
      <c r="V164" s="209"/>
      <c r="W164" s="209"/>
      <c r="X164" s="209"/>
      <c r="Y164" s="209"/>
      <c r="Z164" s="209"/>
      <c r="AA164" s="206"/>
      <c r="AB164" s="207"/>
    </row>
    <row r="165" spans="1:28" s="188" customFormat="1" ht="22.5">
      <c r="A165" s="208"/>
      <c r="B165" s="197"/>
      <c r="C165" s="64"/>
      <c r="D165" s="198"/>
      <c r="E165" s="198"/>
      <c r="F165" s="198"/>
      <c r="G165" s="198"/>
      <c r="H165" s="199"/>
      <c r="I165" s="198"/>
      <c r="J165" s="198"/>
      <c r="K165" s="198"/>
      <c r="L165" s="200"/>
      <c r="M165" s="200"/>
      <c r="N165" s="198"/>
      <c r="O165" s="201"/>
      <c r="P165" s="202"/>
      <c r="Q165" s="203"/>
      <c r="R165" s="203"/>
      <c r="S165" s="203"/>
      <c r="T165" s="203"/>
      <c r="U165" s="204"/>
      <c r="V165" s="209"/>
      <c r="W165" s="209"/>
      <c r="X165" s="209"/>
      <c r="Y165" s="209"/>
      <c r="Z165" s="209"/>
      <c r="AA165" s="206"/>
      <c r="AB165" s="207"/>
    </row>
    <row r="166" spans="1:28" s="188" customFormat="1" ht="22.5">
      <c r="A166" s="208"/>
      <c r="B166" s="197"/>
      <c r="C166" s="64"/>
      <c r="D166" s="198"/>
      <c r="E166" s="198"/>
      <c r="F166" s="198"/>
      <c r="G166" s="198"/>
      <c r="H166" s="199"/>
      <c r="I166" s="198"/>
      <c r="J166" s="198"/>
      <c r="K166" s="198"/>
      <c r="L166" s="200"/>
      <c r="M166" s="200"/>
      <c r="N166" s="198"/>
      <c r="O166" s="201"/>
      <c r="P166" s="202"/>
      <c r="Q166" s="203"/>
      <c r="R166" s="203"/>
      <c r="S166" s="203"/>
      <c r="T166" s="203"/>
      <c r="U166" s="204"/>
      <c r="V166" s="209"/>
      <c r="W166" s="209"/>
      <c r="X166" s="209"/>
      <c r="Y166" s="209"/>
      <c r="Z166" s="209"/>
      <c r="AA166" s="206"/>
      <c r="AB166" s="207"/>
    </row>
    <row r="167" spans="1:28" s="188" customFormat="1" ht="22.5">
      <c r="A167" s="208"/>
      <c r="B167" s="197"/>
      <c r="C167" s="64"/>
      <c r="D167" s="198"/>
      <c r="E167" s="198"/>
      <c r="F167" s="198"/>
      <c r="G167" s="198"/>
      <c r="H167" s="199"/>
      <c r="I167" s="198"/>
      <c r="J167" s="198"/>
      <c r="K167" s="198"/>
      <c r="L167" s="200"/>
      <c r="M167" s="200"/>
      <c r="N167" s="198"/>
      <c r="O167" s="201"/>
      <c r="P167" s="202"/>
      <c r="Q167" s="203"/>
      <c r="R167" s="203"/>
      <c r="S167" s="203"/>
      <c r="T167" s="203"/>
      <c r="U167" s="204"/>
      <c r="V167" s="209"/>
      <c r="W167" s="209"/>
      <c r="X167" s="209"/>
      <c r="Y167" s="209"/>
      <c r="Z167" s="209"/>
      <c r="AA167" s="206"/>
      <c r="AB167" s="207"/>
    </row>
    <row r="168" spans="1:28" s="188" customFormat="1" ht="22.5">
      <c r="A168" s="208"/>
      <c r="B168" s="197"/>
      <c r="C168" s="64"/>
      <c r="D168" s="198"/>
      <c r="E168" s="198"/>
      <c r="F168" s="198"/>
      <c r="G168" s="198"/>
      <c r="H168" s="199"/>
      <c r="I168" s="198"/>
      <c r="J168" s="198"/>
      <c r="K168" s="198"/>
      <c r="L168" s="200"/>
      <c r="M168" s="200"/>
      <c r="N168" s="198"/>
      <c r="O168" s="201"/>
      <c r="P168" s="202"/>
      <c r="Q168" s="203"/>
      <c r="R168" s="203"/>
      <c r="S168" s="203"/>
      <c r="T168" s="203"/>
      <c r="U168" s="204"/>
      <c r="V168" s="209"/>
      <c r="W168" s="209"/>
      <c r="X168" s="209"/>
      <c r="Y168" s="209"/>
      <c r="Z168" s="209"/>
      <c r="AA168" s="206"/>
      <c r="AB168" s="207"/>
    </row>
    <row r="169" spans="1:28" s="188" customFormat="1" ht="27.75" customHeight="1">
      <c r="A169" s="208"/>
      <c r="B169" s="197"/>
      <c r="C169" s="64"/>
      <c r="D169" s="198"/>
      <c r="E169" s="198"/>
      <c r="F169" s="198"/>
      <c r="G169" s="198"/>
      <c r="H169" s="199"/>
      <c r="I169" s="198"/>
      <c r="J169" s="198"/>
      <c r="K169" s="198"/>
      <c r="L169" s="200"/>
      <c r="M169" s="200"/>
      <c r="N169" s="198"/>
      <c r="O169" s="201"/>
      <c r="P169" s="202"/>
      <c r="Q169" s="203"/>
      <c r="R169" s="203"/>
      <c r="S169" s="203"/>
      <c r="T169" s="203"/>
      <c r="U169" s="204"/>
      <c r="V169" s="316" t="s">
        <v>283</v>
      </c>
      <c r="W169" s="316"/>
      <c r="X169" s="316"/>
      <c r="Y169" s="316"/>
      <c r="Z169" s="316"/>
      <c r="AA169" s="206"/>
      <c r="AB169" s="207"/>
    </row>
    <row r="170" spans="1:28" s="188" customFormat="1" ht="18.75">
      <c r="A170" s="208"/>
      <c r="B170" s="197"/>
      <c r="C170" s="64"/>
      <c r="D170" s="198"/>
      <c r="E170" s="198"/>
      <c r="F170" s="198"/>
      <c r="G170" s="198"/>
      <c r="H170" s="199"/>
      <c r="I170" s="198"/>
      <c r="J170" s="198"/>
      <c r="K170" s="198"/>
      <c r="L170" s="200"/>
      <c r="M170" s="200"/>
      <c r="N170" s="198"/>
      <c r="O170" s="201"/>
      <c r="P170" s="202"/>
      <c r="Q170" s="203"/>
      <c r="R170" s="203"/>
      <c r="S170" s="203"/>
      <c r="T170" s="203"/>
      <c r="U170" s="204"/>
      <c r="V170" s="204"/>
      <c r="W170" s="204"/>
      <c r="X170" s="204"/>
      <c r="Y170" s="204"/>
      <c r="Z170" s="205"/>
      <c r="AA170" s="206"/>
      <c r="AB170" s="207"/>
    </row>
    <row r="171" spans="1:28" s="188" customFormat="1" ht="18.75">
      <c r="A171" s="208"/>
      <c r="B171" s="197"/>
      <c r="C171" s="64"/>
      <c r="D171" s="198"/>
      <c r="E171" s="198"/>
      <c r="F171" s="198"/>
      <c r="G171" s="198"/>
      <c r="H171" s="199"/>
      <c r="I171" s="198"/>
      <c r="J171" s="198"/>
      <c r="K171" s="198"/>
      <c r="L171" s="200"/>
      <c r="M171" s="200"/>
      <c r="N171" s="198"/>
      <c r="O171" s="201"/>
      <c r="P171" s="202"/>
      <c r="Q171" s="203"/>
      <c r="R171" s="203"/>
      <c r="S171" s="203"/>
      <c r="T171" s="203"/>
      <c r="U171" s="204"/>
      <c r="V171" s="204"/>
      <c r="W171" s="204"/>
      <c r="X171" s="204"/>
      <c r="Y171" s="204"/>
      <c r="Z171" s="205"/>
      <c r="AA171" s="206"/>
      <c r="AB171" s="207"/>
    </row>
    <row r="172" spans="1:28" s="188" customFormat="1" ht="18.75">
      <c r="A172" s="208"/>
      <c r="B172" s="197"/>
      <c r="C172" s="64"/>
      <c r="D172" s="198"/>
      <c r="E172" s="198"/>
      <c r="F172" s="198"/>
      <c r="G172" s="198"/>
      <c r="H172" s="199"/>
      <c r="I172" s="198"/>
      <c r="J172" s="198"/>
      <c r="K172" s="198"/>
      <c r="L172" s="200"/>
      <c r="M172" s="200"/>
      <c r="N172" s="198"/>
      <c r="O172" s="201"/>
      <c r="P172" s="202"/>
      <c r="Q172" s="203"/>
      <c r="R172" s="203"/>
      <c r="S172" s="203"/>
      <c r="T172" s="203"/>
      <c r="U172" s="204"/>
      <c r="V172" s="204"/>
      <c r="W172" s="204"/>
      <c r="X172" s="204"/>
      <c r="Y172" s="204"/>
      <c r="Z172" s="205"/>
      <c r="AA172" s="206"/>
      <c r="AB172" s="207"/>
    </row>
    <row r="173" spans="1:28" s="188" customFormat="1" ht="18.75">
      <c r="A173" s="208"/>
      <c r="B173" s="197"/>
      <c r="C173" s="64"/>
      <c r="D173" s="198"/>
      <c r="E173" s="198"/>
      <c r="F173" s="198"/>
      <c r="G173" s="198"/>
      <c r="H173" s="199"/>
      <c r="I173" s="198"/>
      <c r="J173" s="198"/>
      <c r="K173" s="198"/>
      <c r="L173" s="200"/>
      <c r="M173" s="200"/>
      <c r="N173" s="198"/>
      <c r="O173" s="201"/>
      <c r="P173" s="202"/>
      <c r="Q173" s="203"/>
      <c r="R173" s="203"/>
      <c r="S173" s="203"/>
      <c r="T173" s="203"/>
      <c r="U173" s="204"/>
      <c r="V173" s="204"/>
      <c r="W173" s="204"/>
      <c r="X173" s="204"/>
      <c r="Y173" s="204"/>
      <c r="Z173" s="205"/>
      <c r="AA173" s="206"/>
      <c r="AB173" s="207"/>
    </row>
    <row r="174" spans="1:28" s="188" customFormat="1" ht="18.75">
      <c r="A174" s="208"/>
      <c r="B174" s="197"/>
      <c r="C174" s="64"/>
      <c r="D174" s="198"/>
      <c r="E174" s="198"/>
      <c r="F174" s="198"/>
      <c r="G174" s="198"/>
      <c r="H174" s="199"/>
      <c r="I174" s="198"/>
      <c r="J174" s="198"/>
      <c r="K174" s="198"/>
      <c r="L174" s="200"/>
      <c r="M174" s="200"/>
      <c r="N174" s="198"/>
      <c r="O174" s="201"/>
      <c r="P174" s="202"/>
      <c r="Q174" s="203"/>
      <c r="R174" s="203"/>
      <c r="S174" s="203"/>
      <c r="T174" s="203"/>
      <c r="U174" s="204"/>
      <c r="V174" s="204"/>
      <c r="W174" s="204"/>
      <c r="X174" s="204"/>
      <c r="Y174" s="204"/>
      <c r="Z174" s="205"/>
      <c r="AA174" s="206"/>
      <c r="AB174" s="207"/>
    </row>
    <row r="175" spans="1:28" s="188" customFormat="1" ht="18.75">
      <c r="A175" s="208"/>
      <c r="B175" s="197"/>
      <c r="C175" s="64"/>
      <c r="D175" s="198"/>
      <c r="E175" s="198"/>
      <c r="F175" s="198"/>
      <c r="G175" s="198"/>
      <c r="H175" s="199"/>
      <c r="I175" s="198"/>
      <c r="J175" s="198"/>
      <c r="K175" s="198"/>
      <c r="L175" s="200"/>
      <c r="M175" s="200"/>
      <c r="N175" s="198"/>
      <c r="O175" s="201"/>
      <c r="P175" s="202"/>
      <c r="Q175" s="203"/>
      <c r="R175" s="203"/>
      <c r="S175" s="203"/>
      <c r="T175" s="203"/>
      <c r="U175" s="204"/>
      <c r="V175" s="204"/>
      <c r="W175" s="204"/>
      <c r="X175" s="204"/>
      <c r="Y175" s="204"/>
      <c r="Z175" s="205"/>
      <c r="AA175" s="206"/>
      <c r="AB175" s="207"/>
    </row>
    <row r="176" spans="1:28" s="188" customFormat="1" ht="18.75">
      <c r="A176" s="208"/>
      <c r="B176" s="197"/>
      <c r="C176" s="64"/>
      <c r="D176" s="198"/>
      <c r="E176" s="198"/>
      <c r="F176" s="198"/>
      <c r="G176" s="198"/>
      <c r="H176" s="199"/>
      <c r="I176" s="198"/>
      <c r="J176" s="198"/>
      <c r="K176" s="198"/>
      <c r="L176" s="200"/>
      <c r="M176" s="200"/>
      <c r="N176" s="198"/>
      <c r="O176" s="201"/>
      <c r="P176" s="202"/>
      <c r="Q176" s="203"/>
      <c r="R176" s="203"/>
      <c r="S176" s="203"/>
      <c r="T176" s="203"/>
      <c r="U176" s="204"/>
      <c r="V176" s="204"/>
      <c r="W176" s="204"/>
      <c r="X176" s="204"/>
      <c r="Y176" s="204"/>
      <c r="Z176" s="205"/>
      <c r="AA176" s="206"/>
      <c r="AB176" s="207"/>
    </row>
    <row r="177" spans="1:28" s="188" customFormat="1" ht="18.75">
      <c r="A177" s="208"/>
      <c r="B177" s="197"/>
      <c r="C177" s="64"/>
      <c r="D177" s="198"/>
      <c r="E177" s="198"/>
      <c r="F177" s="198"/>
      <c r="G177" s="198"/>
      <c r="H177" s="199"/>
      <c r="I177" s="198"/>
      <c r="J177" s="198"/>
      <c r="K177" s="198"/>
      <c r="L177" s="200"/>
      <c r="M177" s="200"/>
      <c r="N177" s="198"/>
      <c r="O177" s="201"/>
      <c r="P177" s="202"/>
      <c r="Q177" s="203"/>
      <c r="R177" s="203"/>
      <c r="S177" s="203"/>
      <c r="T177" s="203"/>
      <c r="U177" s="204"/>
      <c r="V177" s="204"/>
      <c r="W177" s="204"/>
      <c r="X177" s="204"/>
      <c r="Y177" s="204"/>
      <c r="Z177" s="205"/>
      <c r="AA177" s="206"/>
      <c r="AB177" s="207"/>
    </row>
    <row r="178" spans="1:28" s="188" customFormat="1" ht="18.75">
      <c r="A178" s="208"/>
      <c r="B178" s="197"/>
      <c r="C178" s="64"/>
      <c r="D178" s="198"/>
      <c r="E178" s="198"/>
      <c r="F178" s="198"/>
      <c r="G178" s="198"/>
      <c r="H178" s="199"/>
      <c r="I178" s="198"/>
      <c r="J178" s="198"/>
      <c r="K178" s="198"/>
      <c r="L178" s="200"/>
      <c r="M178" s="200"/>
      <c r="N178" s="198"/>
      <c r="O178" s="201"/>
      <c r="P178" s="202"/>
      <c r="Q178" s="203"/>
      <c r="R178" s="203"/>
      <c r="S178" s="203"/>
      <c r="T178" s="203"/>
      <c r="U178" s="204"/>
      <c r="V178" s="204"/>
      <c r="W178" s="204"/>
      <c r="X178" s="204"/>
      <c r="Y178" s="204"/>
      <c r="Z178" s="205"/>
      <c r="AA178" s="206"/>
      <c r="AB178" s="207"/>
    </row>
    <row r="179" spans="1:28" s="188" customFormat="1" ht="18.75">
      <c r="A179" s="208"/>
      <c r="B179" s="197"/>
      <c r="C179" s="64"/>
      <c r="D179" s="198"/>
      <c r="E179" s="198"/>
      <c r="F179" s="198"/>
      <c r="G179" s="198"/>
      <c r="H179" s="199"/>
      <c r="I179" s="198"/>
      <c r="J179" s="198"/>
      <c r="K179" s="198"/>
      <c r="L179" s="200"/>
      <c r="M179" s="200"/>
      <c r="N179" s="198"/>
      <c r="O179" s="201"/>
      <c r="P179" s="202"/>
      <c r="Q179" s="203"/>
      <c r="R179" s="203"/>
      <c r="S179" s="203"/>
      <c r="T179" s="203"/>
      <c r="U179" s="204"/>
      <c r="V179" s="204"/>
      <c r="W179" s="204"/>
      <c r="X179" s="204"/>
      <c r="Y179" s="204"/>
      <c r="Z179" s="205"/>
      <c r="AA179" s="206"/>
      <c r="AB179" s="207"/>
    </row>
    <row r="180" spans="1:28" s="188" customFormat="1" ht="18.75">
      <c r="A180" s="208"/>
      <c r="B180" s="197"/>
      <c r="C180" s="64"/>
      <c r="D180" s="198"/>
      <c r="E180" s="198"/>
      <c r="F180" s="198"/>
      <c r="G180" s="198"/>
      <c r="H180" s="199"/>
      <c r="I180" s="198"/>
      <c r="J180" s="198"/>
      <c r="K180" s="198"/>
      <c r="L180" s="200"/>
      <c r="M180" s="200"/>
      <c r="N180" s="198"/>
      <c r="O180" s="201"/>
      <c r="P180" s="202"/>
      <c r="Q180" s="203"/>
      <c r="R180" s="203"/>
      <c r="S180" s="203"/>
      <c r="T180" s="203"/>
      <c r="U180" s="204"/>
      <c r="V180" s="204"/>
      <c r="W180" s="204"/>
      <c r="X180" s="204"/>
      <c r="Y180" s="204"/>
      <c r="Z180" s="205"/>
      <c r="AA180" s="206"/>
      <c r="AB180" s="207"/>
    </row>
    <row r="181" spans="1:28" s="188" customFormat="1" ht="18.75">
      <c r="A181" s="208"/>
      <c r="B181" s="197"/>
      <c r="C181" s="64"/>
      <c r="D181" s="198"/>
      <c r="E181" s="198"/>
      <c r="F181" s="198"/>
      <c r="G181" s="198"/>
      <c r="H181" s="199"/>
      <c r="I181" s="198"/>
      <c r="J181" s="198"/>
      <c r="K181" s="198"/>
      <c r="L181" s="200"/>
      <c r="M181" s="200"/>
      <c r="N181" s="198"/>
      <c r="O181" s="201"/>
      <c r="P181" s="202"/>
      <c r="Q181" s="203"/>
      <c r="R181" s="203"/>
      <c r="S181" s="203"/>
      <c r="T181" s="203"/>
      <c r="U181" s="204"/>
      <c r="V181" s="204"/>
      <c r="W181" s="204"/>
      <c r="X181" s="204"/>
      <c r="Y181" s="204"/>
      <c r="Z181" s="205"/>
      <c r="AA181" s="206"/>
      <c r="AB181" s="207"/>
    </row>
    <row r="182" spans="1:28" s="188" customFormat="1" ht="18.75">
      <c r="A182" s="208"/>
      <c r="B182" s="197"/>
      <c r="C182" s="64"/>
      <c r="D182" s="198"/>
      <c r="E182" s="198"/>
      <c r="F182" s="198"/>
      <c r="G182" s="198"/>
      <c r="H182" s="199"/>
      <c r="I182" s="198"/>
      <c r="J182" s="198"/>
      <c r="K182" s="198"/>
      <c r="L182" s="200"/>
      <c r="M182" s="200"/>
      <c r="N182" s="198"/>
      <c r="O182" s="201"/>
      <c r="P182" s="202"/>
      <c r="Q182" s="203"/>
      <c r="R182" s="203"/>
      <c r="S182" s="203"/>
      <c r="T182" s="203"/>
      <c r="U182" s="204"/>
      <c r="V182" s="204"/>
      <c r="W182" s="204"/>
      <c r="X182" s="204"/>
      <c r="Y182" s="204"/>
      <c r="Z182" s="205"/>
      <c r="AA182" s="206"/>
      <c r="AB182" s="207"/>
    </row>
    <row r="183" spans="1:28" s="188" customFormat="1" ht="18.75">
      <c r="A183" s="208"/>
      <c r="B183" s="197"/>
      <c r="C183" s="64"/>
      <c r="D183" s="198"/>
      <c r="E183" s="198"/>
      <c r="F183" s="198"/>
      <c r="G183" s="198"/>
      <c r="H183" s="199"/>
      <c r="I183" s="198"/>
      <c r="J183" s="198"/>
      <c r="K183" s="198"/>
      <c r="L183" s="200"/>
      <c r="M183" s="200"/>
      <c r="N183" s="198"/>
      <c r="O183" s="201"/>
      <c r="P183" s="202"/>
      <c r="Q183" s="203"/>
      <c r="R183" s="203"/>
      <c r="S183" s="203"/>
      <c r="T183" s="203"/>
      <c r="U183" s="204"/>
      <c r="V183" s="204"/>
      <c r="W183" s="204"/>
      <c r="X183" s="204"/>
      <c r="Y183" s="204"/>
      <c r="Z183" s="205"/>
      <c r="AA183" s="206"/>
      <c r="AB183" s="207"/>
    </row>
    <row r="184" spans="1:28" s="188" customFormat="1" ht="18.75">
      <c r="A184" s="208"/>
      <c r="B184" s="197"/>
      <c r="C184" s="64"/>
      <c r="D184" s="198"/>
      <c r="E184" s="198"/>
      <c r="F184" s="198"/>
      <c r="G184" s="198"/>
      <c r="H184" s="199"/>
      <c r="I184" s="198"/>
      <c r="J184" s="198"/>
      <c r="K184" s="198"/>
      <c r="L184" s="200"/>
      <c r="M184" s="200"/>
      <c r="N184" s="198"/>
      <c r="O184" s="201"/>
      <c r="P184" s="202"/>
      <c r="Q184" s="203"/>
      <c r="R184" s="203"/>
      <c r="S184" s="203"/>
      <c r="T184" s="203"/>
      <c r="U184" s="204"/>
      <c r="V184" s="204"/>
      <c r="W184" s="204"/>
      <c r="X184" s="204"/>
      <c r="Y184" s="204"/>
      <c r="Z184" s="205"/>
      <c r="AA184" s="206"/>
      <c r="AB184" s="207"/>
    </row>
    <row r="185" spans="1:28" s="188" customFormat="1" ht="18.75">
      <c r="A185" s="208"/>
      <c r="B185" s="197"/>
      <c r="C185" s="64"/>
      <c r="D185" s="198"/>
      <c r="E185" s="198"/>
      <c r="F185" s="198"/>
      <c r="G185" s="198"/>
      <c r="H185" s="199"/>
      <c r="I185" s="198"/>
      <c r="J185" s="198"/>
      <c r="K185" s="198"/>
      <c r="L185" s="200"/>
      <c r="M185" s="200"/>
      <c r="N185" s="198"/>
      <c r="O185" s="201"/>
      <c r="P185" s="202"/>
      <c r="Q185" s="203"/>
      <c r="R185" s="203"/>
      <c r="S185" s="203"/>
      <c r="T185" s="203"/>
      <c r="U185" s="204"/>
      <c r="V185" s="204"/>
      <c r="W185" s="204"/>
      <c r="X185" s="204"/>
      <c r="Y185" s="204"/>
      <c r="Z185" s="205"/>
      <c r="AA185" s="206"/>
      <c r="AB185" s="207"/>
    </row>
    <row r="186" spans="1:28" s="188" customFormat="1" ht="18.75">
      <c r="A186" s="208"/>
      <c r="B186" s="197"/>
      <c r="C186" s="64"/>
      <c r="D186" s="198"/>
      <c r="E186" s="198"/>
      <c r="F186" s="198"/>
      <c r="G186" s="198"/>
      <c r="H186" s="199"/>
      <c r="I186" s="198"/>
      <c r="J186" s="198"/>
      <c r="K186" s="198"/>
      <c r="L186" s="200"/>
      <c r="M186" s="200"/>
      <c r="N186" s="198"/>
      <c r="O186" s="201"/>
      <c r="P186" s="202"/>
      <c r="Q186" s="203"/>
      <c r="R186" s="203"/>
      <c r="S186" s="203"/>
      <c r="T186" s="203"/>
      <c r="U186" s="204"/>
      <c r="V186" s="204"/>
      <c r="W186" s="204"/>
      <c r="X186" s="204"/>
      <c r="Y186" s="204"/>
      <c r="Z186" s="205"/>
      <c r="AA186" s="206"/>
      <c r="AB186" s="207"/>
    </row>
    <row r="187" spans="1:28" s="188" customFormat="1" ht="18.75">
      <c r="A187" s="208"/>
      <c r="B187" s="197"/>
      <c r="C187" s="64"/>
      <c r="D187" s="198"/>
      <c r="E187" s="198"/>
      <c r="F187" s="198"/>
      <c r="G187" s="198"/>
      <c r="H187" s="199"/>
      <c r="I187" s="198"/>
      <c r="J187" s="198"/>
      <c r="K187" s="198"/>
      <c r="L187" s="200"/>
      <c r="M187" s="200"/>
      <c r="N187" s="198"/>
      <c r="O187" s="201"/>
      <c r="P187" s="202"/>
      <c r="Q187" s="203"/>
      <c r="R187" s="203"/>
      <c r="S187" s="203"/>
      <c r="T187" s="203"/>
      <c r="U187" s="204"/>
      <c r="V187" s="204"/>
      <c r="W187" s="204"/>
      <c r="X187" s="204"/>
      <c r="Y187" s="204"/>
      <c r="Z187" s="205"/>
      <c r="AA187" s="206"/>
      <c r="AB187" s="207"/>
    </row>
    <row r="188" spans="1:28" s="188" customFormat="1" ht="18.75">
      <c r="A188" s="208"/>
      <c r="B188" s="197"/>
      <c r="C188" s="64"/>
      <c r="D188" s="198"/>
      <c r="E188" s="198"/>
      <c r="F188" s="198"/>
      <c r="G188" s="198"/>
      <c r="H188" s="199"/>
      <c r="I188" s="198"/>
      <c r="J188" s="198"/>
      <c r="K188" s="198"/>
      <c r="L188" s="200"/>
      <c r="M188" s="200"/>
      <c r="N188" s="198"/>
      <c r="O188" s="201"/>
      <c r="P188" s="202"/>
      <c r="Q188" s="203"/>
      <c r="R188" s="203"/>
      <c r="S188" s="203"/>
      <c r="T188" s="203"/>
      <c r="U188" s="204"/>
      <c r="V188" s="204"/>
      <c r="W188" s="204"/>
      <c r="X188" s="204"/>
      <c r="Y188" s="204"/>
      <c r="Z188" s="205"/>
      <c r="AA188" s="206"/>
      <c r="AB188" s="207"/>
    </row>
    <row r="189" spans="1:28" s="188" customFormat="1" ht="18.75">
      <c r="A189" s="208"/>
      <c r="B189" s="197"/>
      <c r="C189" s="64"/>
      <c r="D189" s="198"/>
      <c r="E189" s="198"/>
      <c r="F189" s="198"/>
      <c r="G189" s="198"/>
      <c r="H189" s="199"/>
      <c r="I189" s="198"/>
      <c r="J189" s="198"/>
      <c r="K189" s="198"/>
      <c r="L189" s="200"/>
      <c r="M189" s="200"/>
      <c r="N189" s="198"/>
      <c r="O189" s="201"/>
      <c r="P189" s="202"/>
      <c r="Q189" s="203"/>
      <c r="R189" s="203"/>
      <c r="S189" s="203"/>
      <c r="T189" s="203"/>
      <c r="U189" s="204"/>
      <c r="V189" s="204"/>
      <c r="W189" s="204"/>
      <c r="X189" s="204"/>
      <c r="Y189" s="204"/>
      <c r="Z189" s="205"/>
      <c r="AA189" s="206"/>
      <c r="AB189" s="207"/>
    </row>
    <row r="190" spans="1:28" s="188" customFormat="1" ht="18.75">
      <c r="A190" s="208"/>
      <c r="B190" s="197"/>
      <c r="C190" s="64"/>
      <c r="D190" s="198"/>
      <c r="E190" s="198"/>
      <c r="F190" s="198"/>
      <c r="G190" s="198"/>
      <c r="H190" s="199"/>
      <c r="I190" s="198"/>
      <c r="J190" s="198"/>
      <c r="K190" s="198"/>
      <c r="L190" s="200"/>
      <c r="M190" s="200"/>
      <c r="N190" s="198"/>
      <c r="O190" s="201"/>
      <c r="P190" s="202"/>
      <c r="Q190" s="203"/>
      <c r="R190" s="203"/>
      <c r="S190" s="203"/>
      <c r="T190" s="203"/>
      <c r="U190" s="204"/>
      <c r="V190" s="204"/>
      <c r="W190" s="204"/>
      <c r="X190" s="204"/>
      <c r="Y190" s="204"/>
      <c r="Z190" s="205"/>
      <c r="AA190" s="206"/>
      <c r="AB190" s="207"/>
    </row>
    <row r="191" spans="1:28" s="188" customFormat="1" ht="18.75">
      <c r="A191" s="208"/>
      <c r="B191" s="197"/>
      <c r="C191" s="64"/>
      <c r="D191" s="198"/>
      <c r="E191" s="198"/>
      <c r="F191" s="198"/>
      <c r="G191" s="198"/>
      <c r="H191" s="199"/>
      <c r="I191" s="198"/>
      <c r="J191" s="198"/>
      <c r="K191" s="198"/>
      <c r="L191" s="200"/>
      <c r="M191" s="200"/>
      <c r="N191" s="198"/>
      <c r="O191" s="201"/>
      <c r="P191" s="202"/>
      <c r="Q191" s="203"/>
      <c r="R191" s="203"/>
      <c r="S191" s="203"/>
      <c r="T191" s="203"/>
      <c r="U191" s="204"/>
      <c r="V191" s="204"/>
      <c r="W191" s="204"/>
      <c r="X191" s="204"/>
      <c r="Y191" s="204"/>
      <c r="Z191" s="205"/>
      <c r="AA191" s="206"/>
      <c r="AB191" s="207"/>
    </row>
    <row r="192" spans="1:28" s="188" customFormat="1" ht="18.75">
      <c r="A192" s="208"/>
      <c r="B192" s="197"/>
      <c r="C192" s="64"/>
      <c r="D192" s="198"/>
      <c r="E192" s="198"/>
      <c r="F192" s="198"/>
      <c r="G192" s="198"/>
      <c r="H192" s="199"/>
      <c r="I192" s="198"/>
      <c r="J192" s="198"/>
      <c r="K192" s="198"/>
      <c r="L192" s="200"/>
      <c r="M192" s="200"/>
      <c r="N192" s="198"/>
      <c r="O192" s="201"/>
      <c r="P192" s="202"/>
      <c r="Q192" s="203"/>
      <c r="R192" s="203"/>
      <c r="S192" s="203"/>
      <c r="T192" s="203"/>
      <c r="U192" s="204"/>
      <c r="V192" s="204"/>
      <c r="W192" s="204"/>
      <c r="X192" s="204"/>
      <c r="Y192" s="204"/>
      <c r="Z192" s="205"/>
      <c r="AA192" s="206"/>
      <c r="AB192" s="207"/>
    </row>
    <row r="193" spans="1:28" s="188" customFormat="1" ht="18.75">
      <c r="A193" s="208"/>
      <c r="B193" s="197"/>
      <c r="C193" s="64"/>
      <c r="D193" s="198"/>
      <c r="E193" s="198"/>
      <c r="F193" s="198"/>
      <c r="G193" s="198"/>
      <c r="H193" s="199"/>
      <c r="I193" s="198"/>
      <c r="J193" s="198"/>
      <c r="K193" s="198"/>
      <c r="L193" s="200"/>
      <c r="M193" s="200"/>
      <c r="N193" s="198"/>
      <c r="O193" s="201"/>
      <c r="P193" s="202"/>
      <c r="Q193" s="203"/>
      <c r="R193" s="203"/>
      <c r="S193" s="203"/>
      <c r="T193" s="203"/>
      <c r="U193" s="204"/>
      <c r="V193" s="204"/>
      <c r="W193" s="204"/>
      <c r="X193" s="204"/>
      <c r="Y193" s="204"/>
      <c r="Z193" s="205"/>
      <c r="AA193" s="206"/>
      <c r="AB193" s="207"/>
    </row>
    <row r="194" spans="1:28" s="188" customFormat="1" ht="18.75">
      <c r="A194" s="208"/>
      <c r="B194" s="197"/>
      <c r="C194" s="64"/>
      <c r="D194" s="198"/>
      <c r="E194" s="198"/>
      <c r="F194" s="198"/>
      <c r="G194" s="198"/>
      <c r="H194" s="199"/>
      <c r="I194" s="198"/>
      <c r="J194" s="198"/>
      <c r="K194" s="198"/>
      <c r="L194" s="200"/>
      <c r="M194" s="200"/>
      <c r="N194" s="198"/>
      <c r="O194" s="201"/>
      <c r="P194" s="202"/>
      <c r="Q194" s="203"/>
      <c r="R194" s="203"/>
      <c r="S194" s="203"/>
      <c r="T194" s="203"/>
      <c r="U194" s="204"/>
      <c r="V194" s="204"/>
      <c r="W194" s="204"/>
      <c r="X194" s="204"/>
      <c r="Y194" s="204"/>
      <c r="Z194" s="205"/>
      <c r="AA194" s="206"/>
      <c r="AB194" s="207"/>
    </row>
    <row r="195" spans="1:28" s="188" customFormat="1" ht="18.75">
      <c r="A195" s="208"/>
      <c r="B195" s="197"/>
      <c r="C195" s="64"/>
      <c r="D195" s="198"/>
      <c r="E195" s="198"/>
      <c r="F195" s="198"/>
      <c r="G195" s="198"/>
      <c r="H195" s="199"/>
      <c r="I195" s="198"/>
      <c r="J195" s="198"/>
      <c r="K195" s="198"/>
      <c r="L195" s="200"/>
      <c r="M195" s="200"/>
      <c r="N195" s="198"/>
      <c r="O195" s="201"/>
      <c r="P195" s="202"/>
      <c r="Q195" s="203"/>
      <c r="R195" s="203"/>
      <c r="S195" s="203"/>
      <c r="T195" s="203"/>
      <c r="U195" s="204"/>
      <c r="V195" s="204"/>
      <c r="W195" s="204"/>
      <c r="X195" s="204"/>
      <c r="Y195" s="204"/>
      <c r="Z195" s="205"/>
      <c r="AA195" s="206"/>
      <c r="AB195" s="207"/>
    </row>
    <row r="196" spans="1:28" s="188" customFormat="1" ht="18.75">
      <c r="A196" s="208"/>
      <c r="B196" s="197"/>
      <c r="C196" s="64"/>
      <c r="D196" s="198"/>
      <c r="E196" s="198"/>
      <c r="F196" s="198"/>
      <c r="G196" s="198"/>
      <c r="H196" s="199"/>
      <c r="I196" s="198"/>
      <c r="J196" s="198"/>
      <c r="K196" s="198"/>
      <c r="L196" s="200"/>
      <c r="M196" s="200"/>
      <c r="N196" s="198"/>
      <c r="O196" s="201"/>
      <c r="P196" s="202"/>
      <c r="Q196" s="203"/>
      <c r="R196" s="203"/>
      <c r="S196" s="203"/>
      <c r="T196" s="203"/>
      <c r="U196" s="204"/>
      <c r="V196" s="204"/>
      <c r="W196" s="204"/>
      <c r="X196" s="204"/>
      <c r="Y196" s="204"/>
      <c r="Z196" s="205"/>
      <c r="AA196" s="206"/>
      <c r="AB196" s="207"/>
    </row>
    <row r="197" spans="1:28" s="188" customFormat="1" ht="18.75">
      <c r="A197" s="208"/>
      <c r="B197" s="197"/>
      <c r="C197" s="64"/>
      <c r="D197" s="198"/>
      <c r="E197" s="198"/>
      <c r="F197" s="198"/>
      <c r="G197" s="198"/>
      <c r="H197" s="199"/>
      <c r="I197" s="198"/>
      <c r="J197" s="198"/>
      <c r="K197" s="198"/>
      <c r="L197" s="200"/>
      <c r="M197" s="200"/>
      <c r="N197" s="198"/>
      <c r="O197" s="201"/>
      <c r="P197" s="202"/>
      <c r="Q197" s="203"/>
      <c r="R197" s="203"/>
      <c r="S197" s="203"/>
      <c r="T197" s="203"/>
      <c r="U197" s="204"/>
      <c r="V197" s="204"/>
      <c r="W197" s="204"/>
      <c r="X197" s="204"/>
      <c r="Y197" s="204"/>
      <c r="Z197" s="205"/>
      <c r="AA197" s="206"/>
      <c r="AB197" s="207"/>
    </row>
    <row r="198" spans="1:28" s="188" customFormat="1" ht="18.75">
      <c r="A198" s="208"/>
      <c r="B198" s="197"/>
      <c r="C198" s="64"/>
      <c r="D198" s="198"/>
      <c r="E198" s="198"/>
      <c r="F198" s="198"/>
      <c r="G198" s="198"/>
      <c r="H198" s="199"/>
      <c r="I198" s="198"/>
      <c r="J198" s="198"/>
      <c r="K198" s="198"/>
      <c r="L198" s="200"/>
      <c r="M198" s="200"/>
      <c r="N198" s="198"/>
      <c r="O198" s="201"/>
      <c r="P198" s="202"/>
      <c r="Q198" s="203"/>
      <c r="R198" s="203"/>
      <c r="S198" s="203"/>
      <c r="T198" s="203"/>
      <c r="U198" s="204"/>
      <c r="V198" s="204"/>
      <c r="W198" s="204"/>
      <c r="X198" s="204"/>
      <c r="Y198" s="204"/>
      <c r="Z198" s="205"/>
      <c r="AA198" s="206"/>
      <c r="AB198" s="207"/>
    </row>
    <row r="199" spans="1:28" s="188" customFormat="1" ht="18.75">
      <c r="A199" s="208"/>
      <c r="B199" s="197"/>
      <c r="C199" s="64"/>
      <c r="D199" s="198"/>
      <c r="E199" s="198"/>
      <c r="F199" s="198"/>
      <c r="G199" s="198"/>
      <c r="H199" s="199"/>
      <c r="I199" s="198"/>
      <c r="J199" s="198"/>
      <c r="K199" s="198"/>
      <c r="L199" s="200"/>
      <c r="M199" s="200"/>
      <c r="N199" s="198"/>
      <c r="O199" s="201"/>
      <c r="P199" s="202"/>
      <c r="Q199" s="203"/>
      <c r="R199" s="203"/>
      <c r="S199" s="203"/>
      <c r="T199" s="203"/>
      <c r="U199" s="204"/>
      <c r="V199" s="204"/>
      <c r="W199" s="204"/>
      <c r="X199" s="204"/>
      <c r="Y199" s="204"/>
      <c r="Z199" s="205"/>
      <c r="AA199" s="206"/>
      <c r="AB199" s="207"/>
    </row>
    <row r="200" spans="1:28" s="188" customFormat="1" ht="18.75">
      <c r="A200" s="208"/>
      <c r="B200" s="197"/>
      <c r="C200" s="64"/>
      <c r="D200" s="198"/>
      <c r="E200" s="198"/>
      <c r="F200" s="198"/>
      <c r="G200" s="198"/>
      <c r="H200" s="199"/>
      <c r="I200" s="198"/>
      <c r="J200" s="198"/>
      <c r="K200" s="198"/>
      <c r="L200" s="200"/>
      <c r="M200" s="200"/>
      <c r="N200" s="198"/>
      <c r="O200" s="201"/>
      <c r="P200" s="202"/>
      <c r="Q200" s="203"/>
      <c r="R200" s="203"/>
      <c r="S200" s="203"/>
      <c r="T200" s="203"/>
      <c r="U200" s="204"/>
      <c r="V200" s="204"/>
      <c r="W200" s="204"/>
      <c r="X200" s="204"/>
      <c r="Y200" s="204"/>
      <c r="Z200" s="205"/>
      <c r="AA200" s="206"/>
      <c r="AB200" s="207"/>
    </row>
    <row r="201" spans="1:28" s="188" customFormat="1" ht="18.75">
      <c r="A201" s="208"/>
      <c r="B201" s="197"/>
      <c r="C201" s="64"/>
      <c r="D201" s="198"/>
      <c r="E201" s="198"/>
      <c r="F201" s="198"/>
      <c r="G201" s="198"/>
      <c r="H201" s="199"/>
      <c r="I201" s="198"/>
      <c r="J201" s="198"/>
      <c r="K201" s="198"/>
      <c r="L201" s="200"/>
      <c r="M201" s="200"/>
      <c r="N201" s="198"/>
      <c r="O201" s="201"/>
      <c r="P201" s="202"/>
      <c r="Q201" s="203"/>
      <c r="R201" s="203"/>
      <c r="S201" s="203"/>
      <c r="T201" s="203"/>
      <c r="U201" s="204"/>
      <c r="V201" s="204"/>
      <c r="W201" s="204"/>
      <c r="X201" s="204"/>
      <c r="Y201" s="204"/>
      <c r="Z201" s="205"/>
      <c r="AA201" s="206"/>
      <c r="AB201" s="207"/>
    </row>
    <row r="202" spans="1:28" s="188" customFormat="1" ht="18.75">
      <c r="A202" s="208"/>
      <c r="B202" s="197"/>
      <c r="C202" s="64"/>
      <c r="D202" s="198"/>
      <c r="E202" s="198"/>
      <c r="F202" s="198"/>
      <c r="G202" s="198"/>
      <c r="H202" s="199"/>
      <c r="I202" s="198"/>
      <c r="J202" s="198"/>
      <c r="K202" s="198"/>
      <c r="L202" s="200"/>
      <c r="M202" s="200"/>
      <c r="N202" s="198"/>
      <c r="O202" s="201"/>
      <c r="P202" s="202"/>
      <c r="Q202" s="203"/>
      <c r="R202" s="203"/>
      <c r="S202" s="203"/>
      <c r="T202" s="203"/>
      <c r="U202" s="204"/>
      <c r="V202" s="204"/>
      <c r="W202" s="204"/>
      <c r="X202" s="204"/>
      <c r="Y202" s="204"/>
      <c r="Z202" s="205"/>
      <c r="AA202" s="206"/>
      <c r="AB202" s="207"/>
    </row>
    <row r="203" spans="1:28" s="188" customFormat="1" ht="18.75">
      <c r="A203" s="208"/>
      <c r="B203" s="197"/>
      <c r="C203" s="64"/>
      <c r="D203" s="198"/>
      <c r="E203" s="198"/>
      <c r="F203" s="198"/>
      <c r="G203" s="198"/>
      <c r="H203" s="199"/>
      <c r="I203" s="198"/>
      <c r="J203" s="198"/>
      <c r="K203" s="198"/>
      <c r="L203" s="200"/>
      <c r="M203" s="200"/>
      <c r="N203" s="198"/>
      <c r="O203" s="201"/>
      <c r="P203" s="202"/>
      <c r="Q203" s="203"/>
      <c r="R203" s="203"/>
      <c r="S203" s="203"/>
      <c r="T203" s="203"/>
      <c r="U203" s="204"/>
      <c r="V203" s="204"/>
      <c r="W203" s="204"/>
      <c r="X203" s="204"/>
      <c r="Y203" s="204"/>
      <c r="Z203" s="205"/>
      <c r="AA203" s="206"/>
      <c r="AB203" s="207"/>
    </row>
    <row r="204" spans="1:28" s="188" customFormat="1" ht="18.75">
      <c r="A204" s="208"/>
      <c r="B204" s="197"/>
      <c r="C204" s="64"/>
      <c r="D204" s="198"/>
      <c r="E204" s="198"/>
      <c r="F204" s="198"/>
      <c r="G204" s="198"/>
      <c r="H204" s="199"/>
      <c r="I204" s="198"/>
      <c r="J204" s="198"/>
      <c r="K204" s="198"/>
      <c r="L204" s="200"/>
      <c r="M204" s="200"/>
      <c r="N204" s="198"/>
      <c r="O204" s="201"/>
      <c r="P204" s="202"/>
      <c r="Q204" s="203"/>
      <c r="R204" s="203"/>
      <c r="S204" s="203"/>
      <c r="T204" s="203"/>
      <c r="U204" s="204"/>
      <c r="V204" s="204"/>
      <c r="W204" s="204"/>
      <c r="X204" s="204"/>
      <c r="Y204" s="204"/>
      <c r="Z204" s="205"/>
      <c r="AA204" s="206"/>
      <c r="AB204" s="207"/>
    </row>
    <row r="205" spans="1:28" s="188" customFormat="1" ht="18.75">
      <c r="A205" s="208"/>
      <c r="B205" s="197"/>
      <c r="C205" s="64"/>
      <c r="D205" s="198"/>
      <c r="E205" s="198"/>
      <c r="F205" s="198"/>
      <c r="G205" s="198"/>
      <c r="H205" s="199"/>
      <c r="I205" s="198"/>
      <c r="J205" s="198"/>
      <c r="K205" s="198"/>
      <c r="L205" s="200"/>
      <c r="M205" s="200"/>
      <c r="N205" s="198"/>
      <c r="O205" s="201"/>
      <c r="P205" s="202"/>
      <c r="Q205" s="203"/>
      <c r="R205" s="203"/>
      <c r="S205" s="203"/>
      <c r="T205" s="203"/>
      <c r="U205" s="204"/>
      <c r="V205" s="204"/>
      <c r="W205" s="204"/>
      <c r="X205" s="204"/>
      <c r="Y205" s="204"/>
      <c r="Z205" s="205"/>
      <c r="AA205" s="206"/>
      <c r="AB205" s="207"/>
    </row>
    <row r="206" spans="1:28" s="188" customFormat="1" ht="18.75">
      <c r="A206" s="208"/>
      <c r="B206" s="197"/>
      <c r="C206" s="64"/>
      <c r="D206" s="198"/>
      <c r="E206" s="198"/>
      <c r="F206" s="198"/>
      <c r="G206" s="198"/>
      <c r="H206" s="199"/>
      <c r="I206" s="198"/>
      <c r="J206" s="198"/>
      <c r="K206" s="198"/>
      <c r="L206" s="200"/>
      <c r="M206" s="200"/>
      <c r="N206" s="198"/>
      <c r="O206" s="201"/>
      <c r="P206" s="202"/>
      <c r="Q206" s="203"/>
      <c r="R206" s="203"/>
      <c r="S206" s="203"/>
      <c r="T206" s="203"/>
      <c r="U206" s="204"/>
      <c r="V206" s="204"/>
      <c r="W206" s="204"/>
      <c r="X206" s="204"/>
      <c r="Y206" s="204"/>
      <c r="Z206" s="205"/>
      <c r="AA206" s="206"/>
      <c r="AB206" s="207"/>
    </row>
    <row r="207" spans="1:28" s="188" customFormat="1" ht="18.75">
      <c r="A207" s="208"/>
      <c r="B207" s="197"/>
      <c r="C207" s="64"/>
      <c r="D207" s="198"/>
      <c r="E207" s="198"/>
      <c r="F207" s="198"/>
      <c r="G207" s="198"/>
      <c r="H207" s="199"/>
      <c r="I207" s="198"/>
      <c r="J207" s="198"/>
      <c r="K207" s="198"/>
      <c r="L207" s="200"/>
      <c r="M207" s="200"/>
      <c r="N207" s="198"/>
      <c r="O207" s="201"/>
      <c r="P207" s="202"/>
      <c r="Q207" s="203"/>
      <c r="R207" s="203"/>
      <c r="S207" s="203"/>
      <c r="T207" s="203"/>
      <c r="U207" s="204"/>
      <c r="V207" s="204"/>
      <c r="W207" s="204"/>
      <c r="X207" s="204"/>
      <c r="Y207" s="204"/>
      <c r="Z207" s="205"/>
      <c r="AA207" s="206"/>
      <c r="AB207" s="207"/>
    </row>
    <row r="208" spans="1:28" s="188" customFormat="1" ht="18.75">
      <c r="A208" s="208"/>
      <c r="B208" s="197"/>
      <c r="C208" s="64"/>
      <c r="D208" s="198"/>
      <c r="E208" s="198"/>
      <c r="F208" s="198"/>
      <c r="G208" s="198"/>
      <c r="H208" s="199"/>
      <c r="I208" s="198"/>
      <c r="J208" s="198"/>
      <c r="K208" s="198"/>
      <c r="L208" s="200"/>
      <c r="M208" s="200"/>
      <c r="N208" s="198"/>
      <c r="O208" s="201"/>
      <c r="P208" s="202"/>
      <c r="Q208" s="203"/>
      <c r="R208" s="203"/>
      <c r="S208" s="203"/>
      <c r="T208" s="203"/>
      <c r="U208" s="204"/>
      <c r="V208" s="204"/>
      <c r="W208" s="204"/>
      <c r="X208" s="204"/>
      <c r="Y208" s="204"/>
      <c r="Z208" s="205"/>
      <c r="AA208" s="206"/>
      <c r="AB208" s="207"/>
    </row>
    <row r="209" spans="1:28" s="188" customFormat="1" ht="18.75">
      <c r="A209" s="208"/>
      <c r="B209" s="197"/>
      <c r="C209" s="64"/>
      <c r="D209" s="198"/>
      <c r="E209" s="198"/>
      <c r="F209" s="198"/>
      <c r="G209" s="198"/>
      <c r="H209" s="199"/>
      <c r="I209" s="198"/>
      <c r="J209" s="198"/>
      <c r="K209" s="198"/>
      <c r="L209" s="200"/>
      <c r="M209" s="200"/>
      <c r="N209" s="198"/>
      <c r="O209" s="201"/>
      <c r="P209" s="202"/>
      <c r="Q209" s="203"/>
      <c r="R209" s="203"/>
      <c r="S209" s="203"/>
      <c r="T209" s="203"/>
      <c r="U209" s="204"/>
      <c r="V209" s="204"/>
      <c r="W209" s="204"/>
      <c r="X209" s="204"/>
      <c r="Y209" s="204"/>
      <c r="Z209" s="205"/>
      <c r="AA209" s="206"/>
      <c r="AB209" s="207"/>
    </row>
    <row r="210" spans="1:28" s="188" customFormat="1" ht="18.75">
      <c r="A210" s="208"/>
      <c r="B210" s="197"/>
      <c r="C210" s="64"/>
      <c r="D210" s="198"/>
      <c r="E210" s="198"/>
      <c r="F210" s="198"/>
      <c r="G210" s="198"/>
      <c r="H210" s="199"/>
      <c r="I210" s="198"/>
      <c r="J210" s="198"/>
      <c r="K210" s="198"/>
      <c r="L210" s="200"/>
      <c r="M210" s="200"/>
      <c r="N210" s="198"/>
      <c r="O210" s="201"/>
      <c r="P210" s="202"/>
      <c r="Q210" s="203"/>
      <c r="R210" s="203"/>
      <c r="S210" s="203"/>
      <c r="T210" s="203"/>
      <c r="U210" s="204"/>
      <c r="V210" s="204"/>
      <c r="W210" s="204"/>
      <c r="X210" s="204"/>
      <c r="Y210" s="204"/>
      <c r="Z210" s="205"/>
      <c r="AA210" s="206"/>
      <c r="AB210" s="207"/>
    </row>
    <row r="211" spans="1:28" s="188" customFormat="1" ht="18.75">
      <c r="A211" s="208"/>
      <c r="B211" s="197"/>
      <c r="C211" s="64"/>
      <c r="D211" s="198"/>
      <c r="E211" s="198"/>
      <c r="F211" s="198"/>
      <c r="G211" s="198"/>
      <c r="H211" s="199"/>
      <c r="I211" s="198"/>
      <c r="J211" s="198"/>
      <c r="K211" s="198"/>
      <c r="L211" s="200"/>
      <c r="M211" s="200"/>
      <c r="N211" s="198"/>
      <c r="O211" s="201"/>
      <c r="P211" s="202"/>
      <c r="Q211" s="203"/>
      <c r="R211" s="203"/>
      <c r="S211" s="203"/>
      <c r="T211" s="203"/>
      <c r="U211" s="204"/>
      <c r="V211" s="204"/>
      <c r="W211" s="204"/>
      <c r="X211" s="204"/>
      <c r="Y211" s="204"/>
      <c r="Z211" s="205"/>
      <c r="AA211" s="206"/>
      <c r="AB211" s="207"/>
    </row>
    <row r="212" spans="1:28" s="188" customFormat="1" ht="18.75">
      <c r="A212" s="208"/>
      <c r="B212" s="197"/>
      <c r="C212" s="64"/>
      <c r="D212" s="198"/>
      <c r="E212" s="198"/>
      <c r="F212" s="198"/>
      <c r="G212" s="198"/>
      <c r="H212" s="199"/>
      <c r="I212" s="198"/>
      <c r="J212" s="198"/>
      <c r="K212" s="198"/>
      <c r="L212" s="200"/>
      <c r="M212" s="200"/>
      <c r="N212" s="198"/>
      <c r="O212" s="201"/>
      <c r="P212" s="202"/>
      <c r="Q212" s="203"/>
      <c r="R212" s="203"/>
      <c r="S212" s="203"/>
      <c r="T212" s="203"/>
      <c r="U212" s="204"/>
      <c r="V212" s="204"/>
      <c r="W212" s="204"/>
      <c r="X212" s="204"/>
      <c r="Y212" s="204"/>
      <c r="Z212" s="205"/>
      <c r="AA212" s="206"/>
      <c r="AB212" s="207"/>
    </row>
    <row r="213" spans="1:28" s="188" customFormat="1" ht="18.75">
      <c r="A213" s="208"/>
      <c r="B213" s="197"/>
      <c r="C213" s="64"/>
      <c r="D213" s="198"/>
      <c r="E213" s="198"/>
      <c r="F213" s="198"/>
      <c r="G213" s="198"/>
      <c r="H213" s="199"/>
      <c r="I213" s="198"/>
      <c r="J213" s="198"/>
      <c r="K213" s="198"/>
      <c r="L213" s="200"/>
      <c r="M213" s="200"/>
      <c r="N213" s="198"/>
      <c r="O213" s="201"/>
      <c r="P213" s="202"/>
      <c r="Q213" s="203"/>
      <c r="R213" s="203"/>
      <c r="S213" s="203"/>
      <c r="T213" s="203"/>
      <c r="U213" s="204"/>
      <c r="V213" s="204"/>
      <c r="W213" s="204"/>
      <c r="X213" s="204"/>
      <c r="Y213" s="204"/>
      <c r="Z213" s="205"/>
      <c r="AA213" s="206"/>
      <c r="AB213" s="207"/>
    </row>
    <row r="214" spans="1:28" s="188" customFormat="1" ht="18.75">
      <c r="A214" s="208"/>
      <c r="B214" s="197"/>
      <c r="C214" s="64"/>
      <c r="D214" s="198"/>
      <c r="E214" s="198"/>
      <c r="F214" s="198"/>
      <c r="G214" s="198"/>
      <c r="H214" s="199"/>
      <c r="I214" s="198"/>
      <c r="J214" s="198"/>
      <c r="K214" s="198"/>
      <c r="L214" s="200"/>
      <c r="M214" s="200"/>
      <c r="N214" s="198"/>
      <c r="O214" s="201"/>
      <c r="P214" s="202"/>
      <c r="Q214" s="203"/>
      <c r="R214" s="203"/>
      <c r="S214" s="203"/>
      <c r="T214" s="203"/>
      <c r="U214" s="204"/>
      <c r="V214" s="204"/>
      <c r="W214" s="204"/>
      <c r="X214" s="204"/>
      <c r="Y214" s="204"/>
      <c r="Z214" s="205"/>
      <c r="AA214" s="206"/>
      <c r="AB214" s="207"/>
    </row>
    <row r="215" spans="1:28" s="188" customFormat="1" ht="18.75">
      <c r="A215" s="208"/>
      <c r="B215" s="197"/>
      <c r="C215" s="64"/>
      <c r="D215" s="198"/>
      <c r="E215" s="198"/>
      <c r="F215" s="198"/>
      <c r="G215" s="198"/>
      <c r="H215" s="199"/>
      <c r="I215" s="198"/>
      <c r="J215" s="198"/>
      <c r="K215" s="198"/>
      <c r="L215" s="200"/>
      <c r="M215" s="200"/>
      <c r="N215" s="198"/>
      <c r="O215" s="201"/>
      <c r="P215" s="202"/>
      <c r="Q215" s="203"/>
      <c r="R215" s="203"/>
      <c r="S215" s="203"/>
      <c r="T215" s="203"/>
      <c r="U215" s="204"/>
      <c r="V215" s="204"/>
      <c r="W215" s="204"/>
      <c r="X215" s="204"/>
      <c r="Y215" s="204"/>
      <c r="Z215" s="205"/>
      <c r="AA215" s="206"/>
      <c r="AB215" s="207"/>
    </row>
    <row r="216" spans="1:28" s="188" customFormat="1" ht="18.75">
      <c r="A216" s="208"/>
      <c r="B216" s="197"/>
      <c r="C216" s="64"/>
      <c r="D216" s="198"/>
      <c r="E216" s="198"/>
      <c r="F216" s="198"/>
      <c r="G216" s="198"/>
      <c r="H216" s="199"/>
      <c r="I216" s="198"/>
      <c r="J216" s="198"/>
      <c r="K216" s="198"/>
      <c r="L216" s="200"/>
      <c r="M216" s="200"/>
      <c r="N216" s="198"/>
      <c r="O216" s="201"/>
      <c r="P216" s="202"/>
      <c r="Q216" s="203"/>
      <c r="R216" s="203"/>
      <c r="S216" s="203"/>
      <c r="T216" s="203"/>
      <c r="U216" s="204"/>
      <c r="V216" s="204"/>
      <c r="W216" s="204"/>
      <c r="X216" s="204"/>
      <c r="Y216" s="204"/>
      <c r="Z216" s="205"/>
      <c r="AA216" s="206"/>
      <c r="AB216" s="207"/>
    </row>
    <row r="217" spans="1:28" s="188" customFormat="1" ht="18.75">
      <c r="A217" s="208"/>
      <c r="B217" s="197"/>
      <c r="C217" s="64"/>
      <c r="D217" s="198"/>
      <c r="E217" s="198"/>
      <c r="F217" s="198"/>
      <c r="G217" s="198"/>
      <c r="H217" s="199"/>
      <c r="I217" s="198"/>
      <c r="J217" s="198"/>
      <c r="K217" s="198"/>
      <c r="L217" s="200"/>
      <c r="M217" s="200"/>
      <c r="N217" s="198"/>
      <c r="O217" s="201"/>
      <c r="P217" s="202"/>
      <c r="Q217" s="203"/>
      <c r="R217" s="203"/>
      <c r="S217" s="203"/>
      <c r="T217" s="203"/>
      <c r="U217" s="204"/>
      <c r="V217" s="204"/>
      <c r="W217" s="204"/>
      <c r="X217" s="204"/>
      <c r="Y217" s="204"/>
      <c r="Z217" s="205"/>
      <c r="AA217" s="206"/>
      <c r="AB217" s="207"/>
    </row>
    <row r="218" spans="1:28" s="188" customFormat="1" ht="18.75">
      <c r="A218" s="208"/>
      <c r="B218" s="197"/>
      <c r="C218" s="64"/>
      <c r="D218" s="198"/>
      <c r="E218" s="198"/>
      <c r="F218" s="198"/>
      <c r="G218" s="198"/>
      <c r="H218" s="199"/>
      <c r="I218" s="198"/>
      <c r="J218" s="198"/>
      <c r="K218" s="198"/>
      <c r="L218" s="200"/>
      <c r="M218" s="200"/>
      <c r="N218" s="198"/>
      <c r="O218" s="201"/>
      <c r="P218" s="202"/>
      <c r="Q218" s="203"/>
      <c r="R218" s="203"/>
      <c r="S218" s="203"/>
      <c r="T218" s="203"/>
      <c r="U218" s="204"/>
      <c r="V218" s="204"/>
      <c r="W218" s="204"/>
      <c r="X218" s="204"/>
      <c r="Y218" s="204"/>
      <c r="Z218" s="205"/>
      <c r="AA218" s="206"/>
      <c r="AB218" s="207"/>
    </row>
    <row r="219" spans="1:28" s="188" customFormat="1" ht="18.75">
      <c r="A219" s="208"/>
      <c r="B219" s="197"/>
      <c r="C219" s="64"/>
      <c r="D219" s="198"/>
      <c r="E219" s="198"/>
      <c r="F219" s="198"/>
      <c r="G219" s="198"/>
      <c r="H219" s="199"/>
      <c r="I219" s="198"/>
      <c r="J219" s="198"/>
      <c r="K219" s="198"/>
      <c r="L219" s="200"/>
      <c r="M219" s="200"/>
      <c r="N219" s="198"/>
      <c r="O219" s="201"/>
      <c r="P219" s="202"/>
      <c r="Q219" s="203"/>
      <c r="R219" s="203"/>
      <c r="S219" s="203"/>
      <c r="T219" s="203"/>
      <c r="U219" s="204"/>
      <c r="V219" s="204"/>
      <c r="W219" s="204"/>
      <c r="X219" s="204"/>
      <c r="Y219" s="204"/>
      <c r="Z219" s="205"/>
      <c r="AA219" s="206"/>
      <c r="AB219" s="207"/>
    </row>
    <row r="220" spans="1:28" s="188" customFormat="1" ht="18.75">
      <c r="A220" s="208"/>
      <c r="B220" s="197"/>
      <c r="C220" s="64"/>
      <c r="D220" s="198"/>
      <c r="E220" s="198"/>
      <c r="F220" s="198"/>
      <c r="G220" s="198"/>
      <c r="H220" s="199"/>
      <c r="I220" s="198"/>
      <c r="J220" s="198"/>
      <c r="K220" s="198"/>
      <c r="L220" s="200"/>
      <c r="M220" s="200"/>
      <c r="N220" s="198"/>
      <c r="O220" s="201"/>
      <c r="P220" s="202"/>
      <c r="Q220" s="203"/>
      <c r="R220" s="203"/>
      <c r="S220" s="203"/>
      <c r="T220" s="203"/>
      <c r="U220" s="204"/>
      <c r="V220" s="204"/>
      <c r="W220" s="204"/>
      <c r="X220" s="204"/>
      <c r="Y220" s="204"/>
      <c r="Z220" s="205"/>
      <c r="AA220" s="206"/>
      <c r="AB220" s="207"/>
    </row>
    <row r="221" spans="1:28" s="188" customFormat="1" ht="18.75">
      <c r="A221" s="208"/>
      <c r="B221" s="197"/>
      <c r="C221" s="64"/>
      <c r="D221" s="198"/>
      <c r="E221" s="198"/>
      <c r="F221" s="198"/>
      <c r="G221" s="198"/>
      <c r="H221" s="199"/>
      <c r="I221" s="198"/>
      <c r="J221" s="198"/>
      <c r="K221" s="198"/>
      <c r="L221" s="200"/>
      <c r="M221" s="200"/>
      <c r="N221" s="198"/>
      <c r="O221" s="201"/>
      <c r="P221" s="202"/>
      <c r="Q221" s="203"/>
      <c r="R221" s="203"/>
      <c r="S221" s="203"/>
      <c r="T221" s="203"/>
      <c r="U221" s="204"/>
      <c r="V221" s="204"/>
      <c r="W221" s="204"/>
      <c r="X221" s="204"/>
      <c r="Y221" s="204"/>
      <c r="Z221" s="205"/>
      <c r="AA221" s="206"/>
      <c r="AB221" s="207"/>
    </row>
    <row r="222" spans="1:28" s="188" customFormat="1" ht="18.75">
      <c r="A222" s="208"/>
      <c r="B222" s="197"/>
      <c r="C222" s="64"/>
      <c r="D222" s="198"/>
      <c r="E222" s="198"/>
      <c r="F222" s="198"/>
      <c r="G222" s="198"/>
      <c r="H222" s="199"/>
      <c r="I222" s="198"/>
      <c r="J222" s="198"/>
      <c r="K222" s="198"/>
      <c r="L222" s="200"/>
      <c r="M222" s="200"/>
      <c r="N222" s="198"/>
      <c r="O222" s="201"/>
      <c r="P222" s="202"/>
      <c r="Q222" s="203"/>
      <c r="R222" s="203"/>
      <c r="S222" s="203"/>
      <c r="T222" s="203"/>
      <c r="U222" s="204"/>
      <c r="V222" s="204"/>
      <c r="W222" s="204"/>
      <c r="X222" s="204"/>
      <c r="Y222" s="204"/>
      <c r="Z222" s="205"/>
      <c r="AA222" s="206"/>
      <c r="AB222" s="207"/>
    </row>
    <row r="223" spans="1:28" s="188" customFormat="1" ht="18.75">
      <c r="A223" s="208"/>
      <c r="B223" s="197"/>
      <c r="C223" s="64"/>
      <c r="D223" s="198"/>
      <c r="E223" s="198"/>
      <c r="F223" s="198"/>
      <c r="G223" s="198"/>
      <c r="H223" s="199"/>
      <c r="I223" s="198"/>
      <c r="J223" s="198"/>
      <c r="K223" s="198"/>
      <c r="L223" s="200"/>
      <c r="M223" s="200"/>
      <c r="N223" s="198"/>
      <c r="O223" s="201"/>
      <c r="P223" s="202"/>
      <c r="Q223" s="203"/>
      <c r="R223" s="203"/>
      <c r="S223" s="203"/>
      <c r="T223" s="203"/>
      <c r="U223" s="204"/>
      <c r="V223" s="204"/>
      <c r="W223" s="204"/>
      <c r="X223" s="204"/>
      <c r="Y223" s="204"/>
      <c r="Z223" s="205"/>
      <c r="AA223" s="206"/>
      <c r="AB223" s="207"/>
    </row>
    <row r="224" ht="18.75">
      <c r="A224" s="208"/>
    </row>
  </sheetData>
  <sheetProtection/>
  <autoFilter ref="A9:AB161"/>
  <mergeCells count="51">
    <mergeCell ref="AA145:AA150"/>
    <mergeCell ref="P6:U7"/>
    <mergeCell ref="M154:M160"/>
    <mergeCell ref="AA154:AA160"/>
    <mergeCell ref="V169:Z169"/>
    <mergeCell ref="M43:M64"/>
    <mergeCell ref="AA43:AA64"/>
    <mergeCell ref="M65:M75"/>
    <mergeCell ref="AA65:AA75"/>
    <mergeCell ref="M151:M153"/>
    <mergeCell ref="AA151:AA153"/>
    <mergeCell ref="M129:M143"/>
    <mergeCell ref="AA129:AA143"/>
    <mergeCell ref="M145:M150"/>
    <mergeCell ref="A6:A8"/>
    <mergeCell ref="B6:B8"/>
    <mergeCell ref="C6:C8"/>
    <mergeCell ref="D6:H7"/>
    <mergeCell ref="L6:L8"/>
    <mergeCell ref="V163:Z163"/>
    <mergeCell ref="V6:Y7"/>
    <mergeCell ref="Z6:Z8"/>
    <mergeCell ref="I7:J7"/>
    <mergeCell ref="B1:AB1"/>
    <mergeCell ref="B2:AB2"/>
    <mergeCell ref="B3:AB3"/>
    <mergeCell ref="B5:AB5"/>
    <mergeCell ref="AA6:AA8"/>
    <mergeCell ref="AB6:AB8"/>
    <mergeCell ref="M6:M8"/>
    <mergeCell ref="N6:O7"/>
    <mergeCell ref="B4:AB4"/>
    <mergeCell ref="I6:K6"/>
    <mergeCell ref="B80:B128"/>
    <mergeCell ref="M80:M128"/>
    <mergeCell ref="AA80:AA128"/>
    <mergeCell ref="M33:M42"/>
    <mergeCell ref="AA33:AA42"/>
    <mergeCell ref="M11:M32"/>
    <mergeCell ref="M78:M79"/>
    <mergeCell ref="AA11:AA32"/>
    <mergeCell ref="B129:B143"/>
    <mergeCell ref="B145:B150"/>
    <mergeCell ref="B151:B152"/>
    <mergeCell ref="B154:B160"/>
    <mergeCell ref="B10:D10"/>
    <mergeCell ref="B11:B32"/>
    <mergeCell ref="B33:B42"/>
    <mergeCell ref="B43:B64"/>
    <mergeCell ref="B65:B75"/>
    <mergeCell ref="B78:B79"/>
  </mergeCells>
  <printOptions/>
  <pageMargins left="0.94488188976378" right="0.3" top="0.81" bottom="0.68" header="0.74" footer="0.6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U143"/>
  <sheetViews>
    <sheetView zoomScale="70" zoomScaleNormal="70" zoomScalePageLayoutView="0" workbookViewId="0" topLeftCell="B1">
      <selection activeCell="H54" sqref="H54"/>
    </sheetView>
  </sheetViews>
  <sheetFormatPr defaultColWidth="9.140625" defaultRowHeight="15"/>
  <cols>
    <col min="1" max="1" width="5.00390625" style="88" hidden="1" customWidth="1"/>
    <col min="2" max="2" width="7.421875" style="210" customWidth="1"/>
    <col min="3" max="3" width="63.00390625" style="214" customWidth="1"/>
    <col min="4" max="4" width="11.7109375" style="215" customWidth="1"/>
    <col min="5" max="5" width="9.7109375" style="215" customWidth="1"/>
    <col min="6" max="6" width="12.28125" style="215" customWidth="1"/>
    <col min="7" max="7" width="10.7109375" style="215" customWidth="1"/>
    <col min="8" max="8" width="18.8515625" style="216" customWidth="1"/>
    <col min="9" max="9" width="21.8515625" style="219" customWidth="1"/>
    <col min="10" max="10" width="18.00390625" style="188" bestFit="1" customWidth="1"/>
    <col min="11" max="40" width="9.140625" style="188" customWidth="1"/>
    <col min="41" max="16384" width="9.140625" style="189" customWidth="1"/>
  </cols>
  <sheetData>
    <row r="1" spans="2:9" ht="22.5" customHeight="1">
      <c r="B1" s="326" t="s">
        <v>339</v>
      </c>
      <c r="C1" s="326"/>
      <c r="D1" s="326"/>
      <c r="E1" s="326"/>
      <c r="F1" s="326"/>
      <c r="G1" s="326"/>
      <c r="H1" s="326"/>
      <c r="I1" s="326"/>
    </row>
    <row r="2" spans="2:9" ht="51.75" customHeight="1">
      <c r="B2" s="308" t="s">
        <v>338</v>
      </c>
      <c r="C2" s="327"/>
      <c r="D2" s="327"/>
      <c r="E2" s="327"/>
      <c r="F2" s="327"/>
      <c r="G2" s="327"/>
      <c r="H2" s="327"/>
      <c r="I2" s="328"/>
    </row>
    <row r="3" spans="2:9" ht="28.5" customHeight="1">
      <c r="B3" s="329" t="s">
        <v>21</v>
      </c>
      <c r="C3" s="329"/>
      <c r="D3" s="329"/>
      <c r="E3" s="329"/>
      <c r="F3" s="329"/>
      <c r="G3" s="329"/>
      <c r="H3" s="329"/>
      <c r="I3" s="329"/>
    </row>
    <row r="4" spans="2:9" ht="24" customHeight="1">
      <c r="B4" s="330" t="s">
        <v>337</v>
      </c>
      <c r="C4" s="330"/>
      <c r="D4" s="330"/>
      <c r="E4" s="330"/>
      <c r="F4" s="330"/>
      <c r="G4" s="330"/>
      <c r="H4" s="330"/>
      <c r="I4" s="330"/>
    </row>
    <row r="5" spans="2:9" ht="10.5" customHeight="1" hidden="1">
      <c r="B5" s="287"/>
      <c r="C5" s="288"/>
      <c r="D5" s="288"/>
      <c r="E5" s="288"/>
      <c r="F5" s="288"/>
      <c r="G5" s="288"/>
      <c r="H5" s="288"/>
      <c r="I5" s="289"/>
    </row>
    <row r="6" spans="1:40" s="191" customFormat="1" ht="57" customHeight="1">
      <c r="A6" s="235"/>
      <c r="B6" s="236" t="s">
        <v>7</v>
      </c>
      <c r="C6" s="49" t="s">
        <v>2</v>
      </c>
      <c r="D6" s="49" t="s">
        <v>3</v>
      </c>
      <c r="E6" s="49" t="s">
        <v>4</v>
      </c>
      <c r="F6" s="50" t="s">
        <v>5</v>
      </c>
      <c r="G6" s="50" t="s">
        <v>341</v>
      </c>
      <c r="H6" s="50" t="s">
        <v>317</v>
      </c>
      <c r="I6" s="234" t="s">
        <v>0</v>
      </c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</row>
    <row r="7" spans="1:40" s="193" customFormat="1" ht="32.25" customHeight="1">
      <c r="A7" s="57">
        <v>42388</v>
      </c>
      <c r="B7" s="1">
        <v>0</v>
      </c>
      <c r="C7" s="1">
        <v>14</v>
      </c>
      <c r="D7" s="2">
        <v>15</v>
      </c>
      <c r="E7" s="1">
        <v>16</v>
      </c>
      <c r="F7" s="2">
        <v>17</v>
      </c>
      <c r="G7" s="2">
        <v>18</v>
      </c>
      <c r="H7" s="1" t="s">
        <v>298</v>
      </c>
      <c r="I7" s="2">
        <v>26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</row>
    <row r="8" spans="1:125" s="195" customFormat="1" ht="43.5" customHeight="1">
      <c r="A8" s="58"/>
      <c r="B8" s="271" t="s">
        <v>340</v>
      </c>
      <c r="C8" s="325"/>
      <c r="D8" s="89"/>
      <c r="E8" s="89"/>
      <c r="F8" s="89"/>
      <c r="G8" s="89"/>
      <c r="H8" s="89">
        <f>SUM(H9:H80)</f>
        <v>1045849516.4</v>
      </c>
      <c r="I8" s="89"/>
      <c r="J8" s="194">
        <f>'P.án đ3'!U10</f>
        <v>1045849516.4</v>
      </c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</row>
    <row r="9" spans="2:9" s="75" customFormat="1" ht="60" customHeight="1">
      <c r="B9" s="84">
        <v>1</v>
      </c>
      <c r="C9" s="244" t="s">
        <v>335</v>
      </c>
      <c r="D9" s="241">
        <v>102.1</v>
      </c>
      <c r="E9" s="183" t="s">
        <v>164</v>
      </c>
      <c r="F9" s="81">
        <v>1460000</v>
      </c>
      <c r="G9" s="82">
        <v>0.8</v>
      </c>
      <c r="H9" s="81">
        <f aca="true" t="shared" si="0" ref="H9:H60">D9*F9*G9</f>
        <v>119252800</v>
      </c>
      <c r="I9" s="91" t="s">
        <v>113</v>
      </c>
    </row>
    <row r="10" spans="2:9" s="75" customFormat="1" ht="60" customHeight="1">
      <c r="B10" s="84">
        <v>2</v>
      </c>
      <c r="C10" s="244" t="s">
        <v>292</v>
      </c>
      <c r="D10" s="182">
        <f>2.6*1.6</f>
        <v>4.16</v>
      </c>
      <c r="E10" s="183" t="s">
        <v>164</v>
      </c>
      <c r="F10" s="81">
        <v>1500000</v>
      </c>
      <c r="G10" s="82">
        <v>0.8</v>
      </c>
      <c r="H10" s="81">
        <f t="shared" si="0"/>
        <v>4992000</v>
      </c>
      <c r="I10" s="91" t="s">
        <v>114</v>
      </c>
    </row>
    <row r="11" spans="2:9" s="65" customFormat="1" ht="42.75" customHeight="1">
      <c r="B11" s="84">
        <v>3</v>
      </c>
      <c r="C11" s="245" t="s">
        <v>330</v>
      </c>
      <c r="D11" s="242">
        <v>55.73</v>
      </c>
      <c r="E11" s="68" t="s">
        <v>211</v>
      </c>
      <c r="F11" s="67">
        <v>580000</v>
      </c>
      <c r="G11" s="69">
        <v>0.8</v>
      </c>
      <c r="H11" s="81">
        <f t="shared" si="0"/>
        <v>25858720</v>
      </c>
      <c r="I11" s="70"/>
    </row>
    <row r="12" spans="2:9" s="65" customFormat="1" ht="42.75" customHeight="1">
      <c r="B12" s="84">
        <v>4</v>
      </c>
      <c r="C12" s="245" t="s">
        <v>327</v>
      </c>
      <c r="D12" s="242">
        <v>244.24</v>
      </c>
      <c r="E12" s="68" t="s">
        <v>211</v>
      </c>
      <c r="F12" s="67">
        <v>430000</v>
      </c>
      <c r="G12" s="69">
        <v>0.8</v>
      </c>
      <c r="H12" s="81">
        <f t="shared" si="0"/>
        <v>84018560</v>
      </c>
      <c r="I12" s="70"/>
    </row>
    <row r="13" spans="2:9" s="75" customFormat="1" ht="60" customHeight="1">
      <c r="B13" s="84">
        <v>5</v>
      </c>
      <c r="C13" s="244" t="s">
        <v>334</v>
      </c>
      <c r="D13" s="241">
        <v>223.54</v>
      </c>
      <c r="E13" s="183" t="s">
        <v>164</v>
      </c>
      <c r="F13" s="81">
        <v>1100000</v>
      </c>
      <c r="G13" s="82">
        <v>0.8</v>
      </c>
      <c r="H13" s="81">
        <f t="shared" si="0"/>
        <v>196715200</v>
      </c>
      <c r="I13" s="196"/>
    </row>
    <row r="14" spans="2:9" s="75" customFormat="1" ht="60" customHeight="1">
      <c r="B14" s="84">
        <v>6</v>
      </c>
      <c r="C14" s="244" t="s">
        <v>325</v>
      </c>
      <c r="D14" s="240">
        <v>137.48</v>
      </c>
      <c r="E14" s="183" t="s">
        <v>164</v>
      </c>
      <c r="F14" s="81">
        <v>240000</v>
      </c>
      <c r="G14" s="82">
        <v>0.8</v>
      </c>
      <c r="H14" s="81">
        <f t="shared" si="0"/>
        <v>26396160</v>
      </c>
      <c r="I14" s="196" t="s">
        <v>271</v>
      </c>
    </row>
    <row r="15" spans="2:9" s="65" customFormat="1" ht="45" customHeight="1">
      <c r="B15" s="84">
        <v>7</v>
      </c>
      <c r="C15" s="245" t="s">
        <v>276</v>
      </c>
      <c r="D15" s="66">
        <f>40*1.2</f>
        <v>48</v>
      </c>
      <c r="E15" s="223" t="s">
        <v>275</v>
      </c>
      <c r="F15" s="67">
        <v>220000</v>
      </c>
      <c r="G15" s="69">
        <v>0.8</v>
      </c>
      <c r="H15" s="67">
        <f t="shared" si="0"/>
        <v>8448000</v>
      </c>
      <c r="I15" s="181"/>
    </row>
    <row r="16" spans="2:9" s="65" customFormat="1" ht="45" customHeight="1">
      <c r="B16" s="84">
        <v>8</v>
      </c>
      <c r="C16" s="245" t="s">
        <v>333</v>
      </c>
      <c r="D16" s="242">
        <v>3.904</v>
      </c>
      <c r="E16" s="223" t="s">
        <v>273</v>
      </c>
      <c r="F16" s="67">
        <v>1030000</v>
      </c>
      <c r="G16" s="69">
        <v>0.8</v>
      </c>
      <c r="H16" s="67">
        <f t="shared" si="0"/>
        <v>3216896</v>
      </c>
      <c r="I16" s="181"/>
    </row>
    <row r="17" spans="2:9" s="65" customFormat="1" ht="45" customHeight="1">
      <c r="B17" s="84">
        <v>9</v>
      </c>
      <c r="C17" s="245" t="s">
        <v>324</v>
      </c>
      <c r="D17" s="186">
        <v>208</v>
      </c>
      <c r="E17" s="223" t="s">
        <v>169</v>
      </c>
      <c r="F17" s="67">
        <v>170000</v>
      </c>
      <c r="G17" s="69">
        <v>0.8</v>
      </c>
      <c r="H17" s="67">
        <f>D17*F17*G17</f>
        <v>28288000</v>
      </c>
      <c r="I17" s="181"/>
    </row>
    <row r="18" spans="2:9" s="65" customFormat="1" ht="60" customHeight="1">
      <c r="B18" s="84">
        <v>10</v>
      </c>
      <c r="C18" s="245" t="s">
        <v>274</v>
      </c>
      <c r="D18" s="186">
        <f>2*1.2*2.2</f>
        <v>5.28</v>
      </c>
      <c r="E18" s="223" t="s">
        <v>275</v>
      </c>
      <c r="F18" s="67">
        <v>1060000</v>
      </c>
      <c r="G18" s="69">
        <v>0.8</v>
      </c>
      <c r="H18" s="67">
        <f t="shared" si="0"/>
        <v>4477440</v>
      </c>
      <c r="I18" s="181"/>
    </row>
    <row r="19" spans="2:9" s="75" customFormat="1" ht="46.5" customHeight="1">
      <c r="B19" s="84">
        <v>11</v>
      </c>
      <c r="C19" s="244" t="s">
        <v>119</v>
      </c>
      <c r="D19" s="81">
        <v>17</v>
      </c>
      <c r="E19" s="183" t="s">
        <v>110</v>
      </c>
      <c r="F19" s="81">
        <v>1500000</v>
      </c>
      <c r="G19" s="82">
        <v>1</v>
      </c>
      <c r="H19" s="81">
        <f t="shared" si="0"/>
        <v>25500000</v>
      </c>
      <c r="I19" s="196" t="s">
        <v>123</v>
      </c>
    </row>
    <row r="20" spans="2:9" s="75" customFormat="1" ht="46.5" customHeight="1">
      <c r="B20" s="84">
        <v>12</v>
      </c>
      <c r="C20" s="244" t="s">
        <v>124</v>
      </c>
      <c r="D20" s="81">
        <v>2</v>
      </c>
      <c r="E20" s="183" t="s">
        <v>110</v>
      </c>
      <c r="F20" s="81">
        <v>1400000</v>
      </c>
      <c r="G20" s="82">
        <v>1</v>
      </c>
      <c r="H20" s="81">
        <f t="shared" si="0"/>
        <v>2800000</v>
      </c>
      <c r="I20" s="196"/>
    </row>
    <row r="21" spans="2:9" s="75" customFormat="1" ht="46.5" customHeight="1">
      <c r="B21" s="84">
        <v>13</v>
      </c>
      <c r="C21" s="244" t="s">
        <v>120</v>
      </c>
      <c r="D21" s="81">
        <v>1</v>
      </c>
      <c r="E21" s="183" t="s">
        <v>110</v>
      </c>
      <c r="F21" s="81">
        <v>2945000</v>
      </c>
      <c r="G21" s="82">
        <v>1</v>
      </c>
      <c r="H21" s="81">
        <f t="shared" si="0"/>
        <v>2945000</v>
      </c>
      <c r="I21" s="196"/>
    </row>
    <row r="22" spans="2:9" s="75" customFormat="1" ht="46.5" customHeight="1">
      <c r="B22" s="84">
        <v>14</v>
      </c>
      <c r="C22" s="244" t="s">
        <v>121</v>
      </c>
      <c r="D22" s="81">
        <v>1</v>
      </c>
      <c r="E22" s="183" t="s">
        <v>110</v>
      </c>
      <c r="F22" s="81">
        <v>2315000</v>
      </c>
      <c r="G22" s="82">
        <v>1</v>
      </c>
      <c r="H22" s="81">
        <f t="shared" si="0"/>
        <v>2315000</v>
      </c>
      <c r="I22" s="196"/>
    </row>
    <row r="23" spans="2:9" s="75" customFormat="1" ht="46.5" customHeight="1">
      <c r="B23" s="84">
        <v>15</v>
      </c>
      <c r="C23" s="244" t="s">
        <v>122</v>
      </c>
      <c r="D23" s="81">
        <v>18</v>
      </c>
      <c r="E23" s="183" t="s">
        <v>110</v>
      </c>
      <c r="F23" s="81">
        <v>1235000</v>
      </c>
      <c r="G23" s="82">
        <v>1</v>
      </c>
      <c r="H23" s="81">
        <f t="shared" si="0"/>
        <v>22230000</v>
      </c>
      <c r="I23" s="196"/>
    </row>
    <row r="24" spans="2:9" s="75" customFormat="1" ht="46.5" customHeight="1">
      <c r="B24" s="84">
        <v>16</v>
      </c>
      <c r="C24" s="244" t="s">
        <v>122</v>
      </c>
      <c r="D24" s="81">
        <v>2</v>
      </c>
      <c r="E24" s="183" t="s">
        <v>110</v>
      </c>
      <c r="F24" s="81"/>
      <c r="G24" s="82"/>
      <c r="H24" s="81"/>
      <c r="I24" s="196" t="s">
        <v>125</v>
      </c>
    </row>
    <row r="25" spans="2:9" s="75" customFormat="1" ht="46.5" customHeight="1">
      <c r="B25" s="84">
        <v>17</v>
      </c>
      <c r="C25" s="244" t="s">
        <v>126</v>
      </c>
      <c r="D25" s="81">
        <v>7</v>
      </c>
      <c r="E25" s="183" t="s">
        <v>110</v>
      </c>
      <c r="F25" s="81"/>
      <c r="G25" s="82"/>
      <c r="H25" s="81"/>
      <c r="I25" s="196" t="s">
        <v>125</v>
      </c>
    </row>
    <row r="26" spans="2:9" s="75" customFormat="1" ht="46.5" customHeight="1">
      <c r="B26" s="84">
        <v>18</v>
      </c>
      <c r="C26" s="244" t="s">
        <v>127</v>
      </c>
      <c r="D26" s="81">
        <v>6</v>
      </c>
      <c r="E26" s="183" t="s">
        <v>110</v>
      </c>
      <c r="F26" s="81"/>
      <c r="G26" s="82"/>
      <c r="H26" s="81"/>
      <c r="I26" s="196" t="s">
        <v>125</v>
      </c>
    </row>
    <row r="27" spans="2:9" s="75" customFormat="1" ht="46.5" customHeight="1">
      <c r="B27" s="84">
        <v>19</v>
      </c>
      <c r="C27" s="244" t="s">
        <v>128</v>
      </c>
      <c r="D27" s="81">
        <v>1</v>
      </c>
      <c r="E27" s="183" t="s">
        <v>110</v>
      </c>
      <c r="F27" s="81"/>
      <c r="G27" s="82"/>
      <c r="H27" s="81"/>
      <c r="I27" s="196" t="s">
        <v>125</v>
      </c>
    </row>
    <row r="28" spans="2:9" s="75" customFormat="1" ht="46.5" customHeight="1">
      <c r="B28" s="84">
        <v>20</v>
      </c>
      <c r="C28" s="244" t="s">
        <v>129</v>
      </c>
      <c r="D28" s="81">
        <v>2</v>
      </c>
      <c r="E28" s="183" t="s">
        <v>110</v>
      </c>
      <c r="F28" s="81"/>
      <c r="G28" s="82"/>
      <c r="H28" s="81"/>
      <c r="I28" s="196" t="s">
        <v>125</v>
      </c>
    </row>
    <row r="29" spans="2:9" s="65" customFormat="1" ht="46.5" customHeight="1">
      <c r="B29" s="84">
        <v>21</v>
      </c>
      <c r="C29" s="245" t="s">
        <v>158</v>
      </c>
      <c r="D29" s="67">
        <v>34</v>
      </c>
      <c r="E29" s="68" t="s">
        <v>110</v>
      </c>
      <c r="F29" s="67">
        <v>300000</v>
      </c>
      <c r="G29" s="69">
        <v>1</v>
      </c>
      <c r="H29" s="67">
        <f t="shared" si="0"/>
        <v>10200000</v>
      </c>
      <c r="I29" s="70"/>
    </row>
    <row r="30" spans="2:9" s="75" customFormat="1" ht="46.5" customHeight="1">
      <c r="B30" s="84">
        <v>22</v>
      </c>
      <c r="C30" s="244" t="s">
        <v>170</v>
      </c>
      <c r="D30" s="81">
        <v>3</v>
      </c>
      <c r="E30" s="90" t="s">
        <v>110</v>
      </c>
      <c r="F30" s="81">
        <v>460000</v>
      </c>
      <c r="G30" s="82">
        <v>1</v>
      </c>
      <c r="H30" s="81">
        <f t="shared" si="0"/>
        <v>1380000</v>
      </c>
      <c r="I30" s="91"/>
    </row>
    <row r="31" spans="2:9" s="75" customFormat="1" ht="46.5" customHeight="1">
      <c r="B31" s="84">
        <v>23</v>
      </c>
      <c r="C31" s="244" t="s">
        <v>214</v>
      </c>
      <c r="D31" s="81">
        <v>16</v>
      </c>
      <c r="E31" s="90" t="s">
        <v>110</v>
      </c>
      <c r="F31" s="81">
        <v>320000</v>
      </c>
      <c r="G31" s="82">
        <v>1</v>
      </c>
      <c r="H31" s="81">
        <f t="shared" si="0"/>
        <v>5120000</v>
      </c>
      <c r="I31" s="91"/>
    </row>
    <row r="32" spans="2:9" s="65" customFormat="1" ht="46.5" customHeight="1">
      <c r="B32" s="84">
        <v>24</v>
      </c>
      <c r="C32" s="245" t="s">
        <v>212</v>
      </c>
      <c r="D32" s="67">
        <v>4</v>
      </c>
      <c r="E32" s="68" t="s">
        <v>110</v>
      </c>
      <c r="F32" s="67">
        <v>415000</v>
      </c>
      <c r="G32" s="69">
        <v>1</v>
      </c>
      <c r="H32" s="67">
        <f t="shared" si="0"/>
        <v>1660000</v>
      </c>
      <c r="I32" s="70"/>
    </row>
    <row r="33" spans="2:9" s="65" customFormat="1" ht="46.5" customHeight="1">
      <c r="B33" s="84">
        <v>25</v>
      </c>
      <c r="C33" s="245" t="s">
        <v>213</v>
      </c>
      <c r="D33" s="67">
        <v>5</v>
      </c>
      <c r="E33" s="68" t="s">
        <v>110</v>
      </c>
      <c r="F33" s="67">
        <v>345000</v>
      </c>
      <c r="G33" s="69">
        <v>1</v>
      </c>
      <c r="H33" s="67">
        <f t="shared" si="0"/>
        <v>1725000</v>
      </c>
      <c r="I33" s="70"/>
    </row>
    <row r="34" spans="2:9" s="65" customFormat="1" ht="46.5" customHeight="1">
      <c r="B34" s="84">
        <v>26</v>
      </c>
      <c r="C34" s="245" t="s">
        <v>257</v>
      </c>
      <c r="D34" s="67">
        <v>1</v>
      </c>
      <c r="E34" s="68" t="s">
        <v>110</v>
      </c>
      <c r="F34" s="67">
        <v>1317000</v>
      </c>
      <c r="G34" s="69">
        <v>1</v>
      </c>
      <c r="H34" s="67">
        <f t="shared" si="0"/>
        <v>1317000</v>
      </c>
      <c r="I34" s="70" t="s">
        <v>258</v>
      </c>
    </row>
    <row r="35" spans="2:9" s="65" customFormat="1" ht="46.5" customHeight="1">
      <c r="B35" s="84">
        <v>27</v>
      </c>
      <c r="C35" s="245" t="s">
        <v>122</v>
      </c>
      <c r="D35" s="67">
        <v>17</v>
      </c>
      <c r="E35" s="68" t="s">
        <v>110</v>
      </c>
      <c r="F35" s="67">
        <v>1091000</v>
      </c>
      <c r="G35" s="69">
        <v>1</v>
      </c>
      <c r="H35" s="67">
        <f t="shared" si="0"/>
        <v>18547000</v>
      </c>
      <c r="I35" s="70"/>
    </row>
    <row r="36" spans="2:9" s="65" customFormat="1" ht="46.5" customHeight="1">
      <c r="B36" s="84">
        <v>28</v>
      </c>
      <c r="C36" s="245" t="s">
        <v>256</v>
      </c>
      <c r="D36" s="67">
        <v>111</v>
      </c>
      <c r="E36" s="68" t="s">
        <v>152</v>
      </c>
      <c r="F36" s="67">
        <v>87000</v>
      </c>
      <c r="G36" s="69">
        <v>1</v>
      </c>
      <c r="H36" s="67">
        <f t="shared" si="0"/>
        <v>9657000</v>
      </c>
      <c r="I36" s="70"/>
    </row>
    <row r="37" spans="2:9" s="75" customFormat="1" ht="46.5" customHeight="1">
      <c r="B37" s="84">
        <v>29</v>
      </c>
      <c r="C37" s="244" t="s">
        <v>328</v>
      </c>
      <c r="D37" s="240">
        <v>75.66</v>
      </c>
      <c r="E37" s="90" t="s">
        <v>175</v>
      </c>
      <c r="F37" s="81">
        <v>480000</v>
      </c>
      <c r="G37" s="82">
        <v>0.8</v>
      </c>
      <c r="H37" s="81">
        <f t="shared" si="0"/>
        <v>29053440</v>
      </c>
      <c r="I37" s="91"/>
    </row>
    <row r="38" spans="2:9" s="75" customFormat="1" ht="46.5" customHeight="1">
      <c r="B38" s="84">
        <v>30</v>
      </c>
      <c r="C38" s="244" t="s">
        <v>326</v>
      </c>
      <c r="D38" s="241">
        <v>82.58</v>
      </c>
      <c r="E38" s="90" t="s">
        <v>175</v>
      </c>
      <c r="F38" s="81">
        <v>290000</v>
      </c>
      <c r="G38" s="82">
        <v>0.8</v>
      </c>
      <c r="H38" s="81">
        <f t="shared" si="0"/>
        <v>19158560</v>
      </c>
      <c r="I38" s="91"/>
    </row>
    <row r="39" spans="2:9" s="75" customFormat="1" ht="46.5" customHeight="1">
      <c r="B39" s="84">
        <v>31</v>
      </c>
      <c r="C39" s="244" t="s">
        <v>219</v>
      </c>
      <c r="D39" s="81">
        <v>2</v>
      </c>
      <c r="E39" s="90" t="s">
        <v>110</v>
      </c>
      <c r="F39" s="81">
        <v>1364000</v>
      </c>
      <c r="G39" s="82">
        <v>1</v>
      </c>
      <c r="H39" s="81">
        <f t="shared" si="0"/>
        <v>2728000</v>
      </c>
      <c r="I39" s="91"/>
    </row>
    <row r="40" spans="2:9" s="75" customFormat="1" ht="46.5" customHeight="1">
      <c r="B40" s="84">
        <v>32</v>
      </c>
      <c r="C40" s="244" t="s">
        <v>220</v>
      </c>
      <c r="D40" s="81">
        <v>1</v>
      </c>
      <c r="E40" s="90" t="s">
        <v>110</v>
      </c>
      <c r="F40" s="81">
        <v>2864000</v>
      </c>
      <c r="G40" s="82">
        <v>1</v>
      </c>
      <c r="H40" s="81">
        <f t="shared" si="0"/>
        <v>2864000</v>
      </c>
      <c r="I40" s="91"/>
    </row>
    <row r="41" spans="2:9" s="75" customFormat="1" ht="46.5" customHeight="1">
      <c r="B41" s="84">
        <v>33</v>
      </c>
      <c r="C41" s="244" t="s">
        <v>231</v>
      </c>
      <c r="D41" s="81">
        <v>5</v>
      </c>
      <c r="E41" s="90" t="s">
        <v>110</v>
      </c>
      <c r="F41" s="81">
        <v>555000</v>
      </c>
      <c r="G41" s="82">
        <v>1</v>
      </c>
      <c r="H41" s="81">
        <f t="shared" si="0"/>
        <v>2775000</v>
      </c>
      <c r="I41" s="91"/>
    </row>
    <row r="42" spans="2:9" s="75" customFormat="1" ht="46.5" customHeight="1">
      <c r="B42" s="84">
        <v>34</v>
      </c>
      <c r="C42" s="244" t="s">
        <v>221</v>
      </c>
      <c r="D42" s="81">
        <v>1</v>
      </c>
      <c r="E42" s="90" t="s">
        <v>110</v>
      </c>
      <c r="F42" s="81">
        <v>845000</v>
      </c>
      <c r="G42" s="82">
        <v>1</v>
      </c>
      <c r="H42" s="81">
        <f t="shared" si="0"/>
        <v>845000</v>
      </c>
      <c r="I42" s="91"/>
    </row>
    <row r="43" spans="2:9" s="75" customFormat="1" ht="46.5" customHeight="1">
      <c r="B43" s="84">
        <v>35</v>
      </c>
      <c r="C43" s="244" t="s">
        <v>127</v>
      </c>
      <c r="D43" s="81">
        <v>1</v>
      </c>
      <c r="E43" s="90" t="s">
        <v>110</v>
      </c>
      <c r="F43" s="81">
        <v>325000</v>
      </c>
      <c r="G43" s="82">
        <v>1</v>
      </c>
      <c r="H43" s="81">
        <f t="shared" si="0"/>
        <v>325000</v>
      </c>
      <c r="I43" s="91"/>
    </row>
    <row r="44" spans="2:9" s="75" customFormat="1" ht="46.5" customHeight="1">
      <c r="B44" s="84">
        <v>36</v>
      </c>
      <c r="C44" s="244" t="s">
        <v>227</v>
      </c>
      <c r="D44" s="81">
        <v>1</v>
      </c>
      <c r="E44" s="90" t="s">
        <v>110</v>
      </c>
      <c r="F44" s="81">
        <v>94000</v>
      </c>
      <c r="G44" s="82">
        <v>1</v>
      </c>
      <c r="H44" s="81">
        <f t="shared" si="0"/>
        <v>94000</v>
      </c>
      <c r="I44" s="91"/>
    </row>
    <row r="45" spans="2:9" s="75" customFormat="1" ht="46.5" customHeight="1">
      <c r="B45" s="84">
        <v>37</v>
      </c>
      <c r="C45" s="244" t="s">
        <v>228</v>
      </c>
      <c r="D45" s="81">
        <v>50</v>
      </c>
      <c r="E45" s="90" t="s">
        <v>110</v>
      </c>
      <c r="F45" s="81">
        <v>65000</v>
      </c>
      <c r="G45" s="82">
        <v>1</v>
      </c>
      <c r="H45" s="81">
        <f t="shared" si="0"/>
        <v>3250000</v>
      </c>
      <c r="I45" s="91"/>
    </row>
    <row r="46" spans="2:9" s="75" customFormat="1" ht="46.5" customHeight="1">
      <c r="B46" s="84">
        <v>38</v>
      </c>
      <c r="C46" s="244" t="s">
        <v>150</v>
      </c>
      <c r="D46" s="81">
        <v>19</v>
      </c>
      <c r="E46" s="90" t="s">
        <v>110</v>
      </c>
      <c r="F46" s="81">
        <v>107000</v>
      </c>
      <c r="G46" s="82">
        <v>1</v>
      </c>
      <c r="H46" s="81">
        <f t="shared" si="0"/>
        <v>2033000</v>
      </c>
      <c r="I46" s="91"/>
    </row>
    <row r="47" spans="2:9" s="75" customFormat="1" ht="46.5" customHeight="1">
      <c r="B47" s="84">
        <v>39</v>
      </c>
      <c r="C47" s="244" t="s">
        <v>223</v>
      </c>
      <c r="D47" s="81">
        <v>2</v>
      </c>
      <c r="E47" s="90" t="s">
        <v>110</v>
      </c>
      <c r="F47" s="81">
        <v>485000</v>
      </c>
      <c r="G47" s="82">
        <v>1</v>
      </c>
      <c r="H47" s="81">
        <f t="shared" si="0"/>
        <v>970000</v>
      </c>
      <c r="I47" s="91"/>
    </row>
    <row r="48" spans="2:9" s="75" customFormat="1" ht="46.5" customHeight="1">
      <c r="B48" s="84">
        <v>40</v>
      </c>
      <c r="C48" s="244" t="s">
        <v>224</v>
      </c>
      <c r="D48" s="81">
        <v>2</v>
      </c>
      <c r="E48" s="90" t="s">
        <v>110</v>
      </c>
      <c r="F48" s="81">
        <v>235000</v>
      </c>
      <c r="G48" s="82">
        <v>1</v>
      </c>
      <c r="H48" s="81">
        <f t="shared" si="0"/>
        <v>470000</v>
      </c>
      <c r="I48" s="91"/>
    </row>
    <row r="49" spans="2:9" s="75" customFormat="1" ht="46.5" customHeight="1">
      <c r="B49" s="84">
        <v>41</v>
      </c>
      <c r="C49" s="244" t="s">
        <v>225</v>
      </c>
      <c r="D49" s="81">
        <v>1</v>
      </c>
      <c r="E49" s="90" t="s">
        <v>110</v>
      </c>
      <c r="F49" s="81">
        <v>340000</v>
      </c>
      <c r="G49" s="82">
        <v>1</v>
      </c>
      <c r="H49" s="81">
        <f t="shared" si="0"/>
        <v>340000</v>
      </c>
      <c r="I49" s="91"/>
    </row>
    <row r="50" spans="2:9" s="75" customFormat="1" ht="46.5" customHeight="1">
      <c r="B50" s="84">
        <v>42</v>
      </c>
      <c r="C50" s="244" t="s">
        <v>229</v>
      </c>
      <c r="D50" s="81">
        <v>5</v>
      </c>
      <c r="E50" s="90" t="s">
        <v>175</v>
      </c>
      <c r="F50" s="81">
        <v>23500</v>
      </c>
      <c r="G50" s="82">
        <v>1</v>
      </c>
      <c r="H50" s="81">
        <f t="shared" si="0"/>
        <v>117500</v>
      </c>
      <c r="I50" s="91"/>
    </row>
    <row r="51" spans="2:9" s="75" customFormat="1" ht="46.5" customHeight="1">
      <c r="B51" s="84">
        <v>43</v>
      </c>
      <c r="C51" s="244" t="s">
        <v>336</v>
      </c>
      <c r="D51" s="243">
        <v>31.4153</v>
      </c>
      <c r="E51" s="90" t="s">
        <v>205</v>
      </c>
      <c r="F51" s="81">
        <v>2110000</v>
      </c>
      <c r="G51" s="82">
        <v>0.8</v>
      </c>
      <c r="H51" s="81">
        <f t="shared" si="0"/>
        <v>53029026.400000006</v>
      </c>
      <c r="I51" s="91" t="s">
        <v>230</v>
      </c>
    </row>
    <row r="52" spans="2:9" s="75" customFormat="1" ht="60" customHeight="1">
      <c r="B52" s="84">
        <v>44</v>
      </c>
      <c r="C52" s="244" t="s">
        <v>332</v>
      </c>
      <c r="D52" s="240">
        <v>13.95</v>
      </c>
      <c r="E52" s="183" t="s">
        <v>164</v>
      </c>
      <c r="F52" s="81">
        <v>940000</v>
      </c>
      <c r="G52" s="82">
        <v>0.8</v>
      </c>
      <c r="H52" s="81">
        <f t="shared" si="0"/>
        <v>10490400</v>
      </c>
      <c r="I52" s="91" t="s">
        <v>232</v>
      </c>
    </row>
    <row r="53" spans="2:9" s="75" customFormat="1" ht="43.5" customHeight="1">
      <c r="B53" s="84">
        <v>45</v>
      </c>
      <c r="C53" s="244" t="s">
        <v>6</v>
      </c>
      <c r="D53" s="182">
        <v>175.5</v>
      </c>
      <c r="E53" s="90" t="s">
        <v>246</v>
      </c>
      <c r="F53" s="81">
        <v>9500</v>
      </c>
      <c r="G53" s="82">
        <v>1</v>
      </c>
      <c r="H53" s="81">
        <f t="shared" si="0"/>
        <v>1667250</v>
      </c>
      <c r="I53" s="91"/>
    </row>
    <row r="54" spans="2:9" s="75" customFormat="1" ht="51.75" customHeight="1">
      <c r="B54" s="84">
        <v>46</v>
      </c>
      <c r="C54" s="244" t="s">
        <v>153</v>
      </c>
      <c r="D54" s="81">
        <v>16</v>
      </c>
      <c r="E54" s="90" t="s">
        <v>110</v>
      </c>
      <c r="F54" s="81">
        <v>1150000</v>
      </c>
      <c r="G54" s="82">
        <v>1</v>
      </c>
      <c r="H54" s="81">
        <f t="shared" si="0"/>
        <v>18400000</v>
      </c>
      <c r="I54" s="91"/>
    </row>
    <row r="55" spans="2:9" s="75" customFormat="1" ht="51.75" customHeight="1">
      <c r="B55" s="84">
        <v>47</v>
      </c>
      <c r="C55" s="244" t="s">
        <v>235</v>
      </c>
      <c r="D55" s="81">
        <v>2</v>
      </c>
      <c r="E55" s="90" t="s">
        <v>110</v>
      </c>
      <c r="F55" s="81">
        <v>640000</v>
      </c>
      <c r="G55" s="82">
        <v>1</v>
      </c>
      <c r="H55" s="81">
        <f t="shared" si="0"/>
        <v>1280000</v>
      </c>
      <c r="I55" s="91"/>
    </row>
    <row r="56" spans="2:9" s="75" customFormat="1" ht="51.75" customHeight="1">
      <c r="B56" s="84">
        <v>48</v>
      </c>
      <c r="C56" s="244" t="s">
        <v>163</v>
      </c>
      <c r="D56" s="81">
        <v>15</v>
      </c>
      <c r="E56" s="90" t="s">
        <v>110</v>
      </c>
      <c r="F56" s="81">
        <v>1559000</v>
      </c>
      <c r="G56" s="82">
        <v>1</v>
      </c>
      <c r="H56" s="81">
        <f t="shared" si="0"/>
        <v>23385000</v>
      </c>
      <c r="I56" s="91"/>
    </row>
    <row r="57" spans="2:9" s="75" customFormat="1" ht="51.75" customHeight="1">
      <c r="B57" s="84">
        <v>49</v>
      </c>
      <c r="C57" s="244" t="s">
        <v>126</v>
      </c>
      <c r="D57" s="81">
        <v>9</v>
      </c>
      <c r="E57" s="90" t="s">
        <v>110</v>
      </c>
      <c r="F57" s="81">
        <v>470000</v>
      </c>
      <c r="G57" s="82">
        <v>1</v>
      </c>
      <c r="H57" s="81">
        <f t="shared" si="0"/>
        <v>4230000</v>
      </c>
      <c r="I57" s="91"/>
    </row>
    <row r="58" spans="2:9" s="75" customFormat="1" ht="51.75" customHeight="1">
      <c r="B58" s="84">
        <v>50</v>
      </c>
      <c r="C58" s="244" t="s">
        <v>173</v>
      </c>
      <c r="D58" s="81">
        <v>3</v>
      </c>
      <c r="E58" s="90" t="s">
        <v>110</v>
      </c>
      <c r="F58" s="81">
        <v>319000</v>
      </c>
      <c r="G58" s="82">
        <v>1</v>
      </c>
      <c r="H58" s="81">
        <f t="shared" si="0"/>
        <v>957000</v>
      </c>
      <c r="I58" s="91"/>
    </row>
    <row r="59" spans="2:9" s="75" customFormat="1" ht="51.75" customHeight="1">
      <c r="B59" s="84">
        <v>51</v>
      </c>
      <c r="C59" s="244" t="s">
        <v>295</v>
      </c>
      <c r="D59" s="80">
        <v>20</v>
      </c>
      <c r="E59" s="90" t="s">
        <v>175</v>
      </c>
      <c r="F59" s="81">
        <v>58300</v>
      </c>
      <c r="G59" s="82">
        <v>1</v>
      </c>
      <c r="H59" s="81">
        <f t="shared" si="0"/>
        <v>1166000</v>
      </c>
      <c r="I59" s="91"/>
    </row>
    <row r="60" spans="2:9" s="75" customFormat="1" ht="51.75" customHeight="1">
      <c r="B60" s="84">
        <v>52</v>
      </c>
      <c r="C60" s="244" t="s">
        <v>233</v>
      </c>
      <c r="D60" s="80">
        <v>2</v>
      </c>
      <c r="E60" s="90" t="s">
        <v>175</v>
      </c>
      <c r="F60" s="81">
        <v>136000</v>
      </c>
      <c r="G60" s="82">
        <v>1</v>
      </c>
      <c r="H60" s="81">
        <f t="shared" si="0"/>
        <v>272000</v>
      </c>
      <c r="I60" s="91"/>
    </row>
    <row r="61" spans="2:9" s="75" customFormat="1" ht="51.75" customHeight="1">
      <c r="B61" s="84">
        <v>53</v>
      </c>
      <c r="C61" s="244" t="s">
        <v>109</v>
      </c>
      <c r="D61" s="81">
        <v>16</v>
      </c>
      <c r="E61" s="90" t="s">
        <v>111</v>
      </c>
      <c r="F61" s="81">
        <v>163000</v>
      </c>
      <c r="G61" s="82">
        <v>1</v>
      </c>
      <c r="H61" s="81">
        <f aca="true" t="shared" si="1" ref="H61:H76">D61*F61*G61</f>
        <v>2608000</v>
      </c>
      <c r="I61" s="91"/>
    </row>
    <row r="62" spans="2:9" s="75" customFormat="1" ht="60" customHeight="1">
      <c r="B62" s="84">
        <v>54</v>
      </c>
      <c r="C62" s="244" t="s">
        <v>331</v>
      </c>
      <c r="D62" s="240">
        <v>239.34</v>
      </c>
      <c r="E62" s="183" t="s">
        <v>164</v>
      </c>
      <c r="F62" s="81">
        <v>890000</v>
      </c>
      <c r="G62" s="82">
        <v>0.8</v>
      </c>
      <c r="H62" s="81">
        <f t="shared" si="1"/>
        <v>170410080</v>
      </c>
      <c r="I62" s="91" t="s">
        <v>208</v>
      </c>
    </row>
    <row r="63" spans="2:9" s="75" customFormat="1" ht="47.25" customHeight="1">
      <c r="B63" s="84">
        <v>55</v>
      </c>
      <c r="C63" s="244" t="s">
        <v>121</v>
      </c>
      <c r="D63" s="81">
        <v>14</v>
      </c>
      <c r="E63" s="183" t="s">
        <v>110</v>
      </c>
      <c r="F63" s="81">
        <v>2027000</v>
      </c>
      <c r="G63" s="82">
        <v>1</v>
      </c>
      <c r="H63" s="81">
        <f t="shared" si="1"/>
        <v>28378000</v>
      </c>
      <c r="I63" s="91"/>
    </row>
    <row r="64" spans="2:9" s="75" customFormat="1" ht="47.25" customHeight="1">
      <c r="B64" s="84">
        <v>56</v>
      </c>
      <c r="C64" s="244" t="s">
        <v>160</v>
      </c>
      <c r="D64" s="81">
        <v>90</v>
      </c>
      <c r="E64" s="90" t="s">
        <v>110</v>
      </c>
      <c r="F64" s="81">
        <v>34000</v>
      </c>
      <c r="G64" s="82">
        <v>1</v>
      </c>
      <c r="H64" s="81">
        <f t="shared" si="1"/>
        <v>3060000</v>
      </c>
      <c r="I64" s="91"/>
    </row>
    <row r="65" spans="2:9" s="75" customFormat="1" ht="47.25" customHeight="1">
      <c r="B65" s="84">
        <v>57</v>
      </c>
      <c r="C65" s="244" t="s">
        <v>166</v>
      </c>
      <c r="D65" s="81">
        <v>2</v>
      </c>
      <c r="E65" s="90" t="s">
        <v>110</v>
      </c>
      <c r="F65" s="81">
        <v>1805000</v>
      </c>
      <c r="G65" s="82">
        <v>1</v>
      </c>
      <c r="H65" s="81">
        <f t="shared" si="1"/>
        <v>3610000</v>
      </c>
      <c r="I65" s="91"/>
    </row>
    <row r="66" spans="2:9" s="75" customFormat="1" ht="47.25" customHeight="1">
      <c r="B66" s="84">
        <v>58</v>
      </c>
      <c r="C66" s="244" t="s">
        <v>128</v>
      </c>
      <c r="D66" s="81">
        <v>3</v>
      </c>
      <c r="E66" s="90" t="s">
        <v>110</v>
      </c>
      <c r="F66" s="81">
        <v>530000</v>
      </c>
      <c r="G66" s="82">
        <v>1</v>
      </c>
      <c r="H66" s="81">
        <f t="shared" si="1"/>
        <v>1590000</v>
      </c>
      <c r="I66" s="91"/>
    </row>
    <row r="67" spans="2:9" s="75" customFormat="1" ht="47.25" customHeight="1">
      <c r="B67" s="84">
        <v>59</v>
      </c>
      <c r="C67" s="244" t="s">
        <v>174</v>
      </c>
      <c r="D67" s="81">
        <v>3</v>
      </c>
      <c r="E67" s="90" t="s">
        <v>110</v>
      </c>
      <c r="F67" s="81">
        <v>185000</v>
      </c>
      <c r="G67" s="82">
        <v>1</v>
      </c>
      <c r="H67" s="81">
        <f t="shared" si="1"/>
        <v>555000</v>
      </c>
      <c r="I67" s="91"/>
    </row>
    <row r="68" spans="2:9" s="75" customFormat="1" ht="60" customHeight="1">
      <c r="B68" s="84">
        <v>60</v>
      </c>
      <c r="C68" s="244" t="s">
        <v>204</v>
      </c>
      <c r="D68" s="80">
        <v>3</v>
      </c>
      <c r="E68" s="90" t="s">
        <v>175</v>
      </c>
      <c r="F68" s="81">
        <v>45700</v>
      </c>
      <c r="G68" s="82">
        <v>1</v>
      </c>
      <c r="H68" s="81">
        <f t="shared" si="1"/>
        <v>137100</v>
      </c>
      <c r="I68" s="91"/>
    </row>
    <row r="69" spans="2:9" s="65" customFormat="1" ht="51.75" customHeight="1">
      <c r="B69" s="84">
        <v>61</v>
      </c>
      <c r="C69" s="245" t="s">
        <v>269</v>
      </c>
      <c r="D69" s="67">
        <v>2</v>
      </c>
      <c r="E69" s="68" t="s">
        <v>110</v>
      </c>
      <c r="F69" s="67">
        <v>895000</v>
      </c>
      <c r="G69" s="69">
        <v>1</v>
      </c>
      <c r="H69" s="67">
        <f t="shared" si="1"/>
        <v>1790000</v>
      </c>
      <c r="I69" s="70"/>
    </row>
    <row r="70" spans="2:9" s="65" customFormat="1" ht="51.75" customHeight="1">
      <c r="B70" s="84">
        <v>62</v>
      </c>
      <c r="C70" s="245" t="s">
        <v>270</v>
      </c>
      <c r="D70" s="67">
        <v>1</v>
      </c>
      <c r="E70" s="68" t="s">
        <v>110</v>
      </c>
      <c r="F70" s="67">
        <v>650000</v>
      </c>
      <c r="G70" s="69">
        <v>1</v>
      </c>
      <c r="H70" s="67">
        <f t="shared" si="1"/>
        <v>650000</v>
      </c>
      <c r="I70" s="70"/>
    </row>
    <row r="71" spans="2:9" s="75" customFormat="1" ht="51.75" customHeight="1">
      <c r="B71" s="84">
        <v>63</v>
      </c>
      <c r="C71" s="244" t="s">
        <v>168</v>
      </c>
      <c r="D71" s="81">
        <v>13</v>
      </c>
      <c r="E71" s="90" t="s">
        <v>110</v>
      </c>
      <c r="F71" s="81">
        <v>15000</v>
      </c>
      <c r="G71" s="82">
        <v>1</v>
      </c>
      <c r="H71" s="81">
        <f t="shared" si="1"/>
        <v>195000</v>
      </c>
      <c r="I71" s="91"/>
    </row>
    <row r="72" spans="2:9" s="75" customFormat="1" ht="51.75" customHeight="1">
      <c r="B72" s="84">
        <v>64</v>
      </c>
      <c r="C72" s="244" t="s">
        <v>172</v>
      </c>
      <c r="D72" s="81">
        <v>1</v>
      </c>
      <c r="E72" s="90" t="s">
        <v>110</v>
      </c>
      <c r="F72" s="81">
        <v>2517000</v>
      </c>
      <c r="G72" s="82">
        <v>1</v>
      </c>
      <c r="H72" s="81">
        <f t="shared" si="1"/>
        <v>2517000</v>
      </c>
      <c r="I72" s="91"/>
    </row>
    <row r="73" spans="2:9" s="75" customFormat="1" ht="51.75" customHeight="1">
      <c r="B73" s="84">
        <v>65</v>
      </c>
      <c r="C73" s="244" t="s">
        <v>171</v>
      </c>
      <c r="D73" s="81">
        <v>4</v>
      </c>
      <c r="E73" s="90" t="s">
        <v>110</v>
      </c>
      <c r="F73" s="81">
        <v>573000</v>
      </c>
      <c r="G73" s="82">
        <v>1</v>
      </c>
      <c r="H73" s="81">
        <f t="shared" si="1"/>
        <v>2292000</v>
      </c>
      <c r="I73" s="91"/>
    </row>
    <row r="74" spans="2:9" s="75" customFormat="1" ht="60" customHeight="1">
      <c r="B74" s="84">
        <v>66</v>
      </c>
      <c r="C74" s="244" t="s">
        <v>176</v>
      </c>
      <c r="D74" s="182">
        <f>0.4*0.04*2*2</f>
        <v>0.064</v>
      </c>
      <c r="E74" s="90" t="s">
        <v>205</v>
      </c>
      <c r="F74" s="81">
        <v>1320000</v>
      </c>
      <c r="G74" s="82">
        <v>0.8</v>
      </c>
      <c r="H74" s="81">
        <f t="shared" si="1"/>
        <v>67584</v>
      </c>
      <c r="I74" s="91"/>
    </row>
    <row r="75" spans="2:9" s="75" customFormat="1" ht="60" customHeight="1">
      <c r="B75" s="84">
        <v>67</v>
      </c>
      <c r="C75" s="244" t="s">
        <v>329</v>
      </c>
      <c r="D75" s="240">
        <v>86.95</v>
      </c>
      <c r="E75" s="183" t="s">
        <v>164</v>
      </c>
      <c r="F75" s="81">
        <v>530000</v>
      </c>
      <c r="G75" s="82">
        <v>0.8</v>
      </c>
      <c r="H75" s="81">
        <f t="shared" si="1"/>
        <v>36866800</v>
      </c>
      <c r="I75" s="91" t="s">
        <v>249</v>
      </c>
    </row>
    <row r="76" spans="2:9" s="75" customFormat="1" ht="48" customHeight="1">
      <c r="B76" s="84">
        <v>68</v>
      </c>
      <c r="C76" s="244" t="s">
        <v>156</v>
      </c>
      <c r="D76" s="81">
        <v>1</v>
      </c>
      <c r="E76" s="90" t="s">
        <v>110</v>
      </c>
      <c r="F76" s="81">
        <v>1990000</v>
      </c>
      <c r="G76" s="82">
        <v>1</v>
      </c>
      <c r="H76" s="81">
        <f t="shared" si="1"/>
        <v>1990000</v>
      </c>
      <c r="I76" s="91"/>
    </row>
    <row r="77" spans="2:9" s="75" customFormat="1" ht="48" customHeight="1">
      <c r="B77" s="84">
        <v>69</v>
      </c>
      <c r="C77" s="244" t="s">
        <v>147</v>
      </c>
      <c r="D77" s="81">
        <v>5</v>
      </c>
      <c r="E77" s="90" t="s">
        <v>110</v>
      </c>
      <c r="F77" s="81">
        <v>310000</v>
      </c>
      <c r="G77" s="82">
        <v>1</v>
      </c>
      <c r="H77" s="81">
        <f>D77*F77*G77</f>
        <v>1550000</v>
      </c>
      <c r="I77" s="91"/>
    </row>
    <row r="78" spans="2:9" s="75" customFormat="1" ht="48" customHeight="1">
      <c r="B78" s="84">
        <v>70</v>
      </c>
      <c r="C78" s="244" t="s">
        <v>148</v>
      </c>
      <c r="D78" s="81">
        <v>1</v>
      </c>
      <c r="E78" s="90" t="s">
        <v>110</v>
      </c>
      <c r="F78" s="81">
        <v>623000</v>
      </c>
      <c r="G78" s="82">
        <v>1</v>
      </c>
      <c r="H78" s="81">
        <f>D78*F78*G78</f>
        <v>623000</v>
      </c>
      <c r="I78" s="91"/>
    </row>
    <row r="79" spans="2:9" s="75" customFormat="1" ht="48" customHeight="1">
      <c r="B79" s="84">
        <v>71</v>
      </c>
      <c r="C79" s="244" t="s">
        <v>146</v>
      </c>
      <c r="D79" s="81">
        <v>10</v>
      </c>
      <c r="E79" s="90" t="s">
        <v>152</v>
      </c>
      <c r="F79" s="81"/>
      <c r="G79" s="82"/>
      <c r="H79" s="81"/>
      <c r="I79" s="91" t="s">
        <v>125</v>
      </c>
    </row>
    <row r="80" spans="2:9" s="75" customFormat="1" ht="60" customHeight="1">
      <c r="B80" s="84">
        <v>72</v>
      </c>
      <c r="C80" s="244" t="s">
        <v>161</v>
      </c>
      <c r="D80" s="80">
        <f>3.5*2</f>
        <v>7</v>
      </c>
      <c r="E80" s="183" t="s">
        <v>164</v>
      </c>
      <c r="F80" s="81"/>
      <c r="G80" s="82"/>
      <c r="H80" s="81"/>
      <c r="I80" s="91" t="s">
        <v>251</v>
      </c>
    </row>
    <row r="81" spans="1:9" s="188" customFormat="1" ht="18.75">
      <c r="A81" s="88"/>
      <c r="B81" s="197"/>
      <c r="C81" s="202"/>
      <c r="D81" s="203"/>
      <c r="E81" s="203"/>
      <c r="F81" s="203"/>
      <c r="G81" s="203"/>
      <c r="H81" s="204"/>
      <c r="I81" s="207"/>
    </row>
    <row r="82" spans="1:9" s="188" customFormat="1" ht="25.5" customHeight="1">
      <c r="A82" s="208"/>
      <c r="B82" s="197"/>
      <c r="C82" s="202"/>
      <c r="D82" s="203"/>
      <c r="E82" s="203"/>
      <c r="F82" s="203"/>
      <c r="G82" s="203"/>
      <c r="H82" s="204"/>
      <c r="I82" s="207"/>
    </row>
    <row r="83" spans="1:9" s="188" customFormat="1" ht="18.75">
      <c r="A83" s="208"/>
      <c r="B83" s="197"/>
      <c r="C83" s="202"/>
      <c r="D83" s="203"/>
      <c r="E83" s="203"/>
      <c r="F83" s="203"/>
      <c r="G83" s="203"/>
      <c r="H83" s="204"/>
      <c r="I83" s="207"/>
    </row>
    <row r="84" spans="1:9" s="188" customFormat="1" ht="18.75">
      <c r="A84" s="208"/>
      <c r="B84" s="197"/>
      <c r="C84" s="202"/>
      <c r="D84" s="203"/>
      <c r="E84" s="203"/>
      <c r="F84" s="203"/>
      <c r="G84" s="203"/>
      <c r="H84" s="204"/>
      <c r="I84" s="207"/>
    </row>
    <row r="85" spans="1:9" s="188" customFormat="1" ht="18.75">
      <c r="A85" s="208"/>
      <c r="B85" s="197"/>
      <c r="C85" s="202"/>
      <c r="D85" s="203"/>
      <c r="E85" s="203"/>
      <c r="F85" s="203"/>
      <c r="G85" s="203"/>
      <c r="H85" s="204"/>
      <c r="I85" s="207"/>
    </row>
    <row r="86" spans="1:9" s="188" customFormat="1" ht="18.75">
      <c r="A86" s="208"/>
      <c r="B86" s="197"/>
      <c r="C86" s="202"/>
      <c r="D86" s="203"/>
      <c r="E86" s="203"/>
      <c r="F86" s="203"/>
      <c r="G86" s="203"/>
      <c r="H86" s="204"/>
      <c r="I86" s="207"/>
    </row>
    <row r="87" spans="1:9" s="188" customFormat="1" ht="18.75">
      <c r="A87" s="208"/>
      <c r="B87" s="197"/>
      <c r="C87" s="202"/>
      <c r="D87" s="203"/>
      <c r="E87" s="203"/>
      <c r="F87" s="203"/>
      <c r="G87" s="203"/>
      <c r="H87" s="204"/>
      <c r="I87" s="207"/>
    </row>
    <row r="88" spans="1:9" s="188" customFormat="1" ht="27.75" customHeight="1">
      <c r="A88" s="208"/>
      <c r="B88" s="197"/>
      <c r="C88" s="202"/>
      <c r="D88" s="203"/>
      <c r="E88" s="203"/>
      <c r="F88" s="203"/>
      <c r="G88" s="203"/>
      <c r="H88" s="204"/>
      <c r="I88" s="207"/>
    </row>
    <row r="89" spans="1:9" s="188" customFormat="1" ht="18.75">
      <c r="A89" s="208"/>
      <c r="B89" s="197"/>
      <c r="C89" s="202"/>
      <c r="D89" s="203"/>
      <c r="E89" s="203"/>
      <c r="F89" s="203"/>
      <c r="G89" s="203"/>
      <c r="H89" s="204"/>
      <c r="I89" s="207"/>
    </row>
    <row r="90" spans="1:9" s="188" customFormat="1" ht="18.75">
      <c r="A90" s="208"/>
      <c r="B90" s="197"/>
      <c r="C90" s="202"/>
      <c r="D90" s="203"/>
      <c r="E90" s="203"/>
      <c r="F90" s="203"/>
      <c r="G90" s="203"/>
      <c r="H90" s="204"/>
      <c r="I90" s="207"/>
    </row>
    <row r="91" spans="1:9" s="188" customFormat="1" ht="18.75">
      <c r="A91" s="208"/>
      <c r="B91" s="197"/>
      <c r="C91" s="202"/>
      <c r="D91" s="203"/>
      <c r="E91" s="203"/>
      <c r="F91" s="203"/>
      <c r="G91" s="203"/>
      <c r="H91" s="204"/>
      <c r="I91" s="207"/>
    </row>
    <row r="92" spans="1:9" s="188" customFormat="1" ht="18.75">
      <c r="A92" s="208"/>
      <c r="B92" s="197"/>
      <c r="C92" s="202"/>
      <c r="D92" s="203"/>
      <c r="E92" s="203"/>
      <c r="F92" s="203"/>
      <c r="G92" s="203"/>
      <c r="H92" s="204"/>
      <c r="I92" s="207"/>
    </row>
    <row r="93" spans="1:9" s="188" customFormat="1" ht="18.75">
      <c r="A93" s="208"/>
      <c r="B93" s="197"/>
      <c r="C93" s="202"/>
      <c r="D93" s="203"/>
      <c r="E93" s="203"/>
      <c r="F93" s="203"/>
      <c r="G93" s="203"/>
      <c r="H93" s="204"/>
      <c r="I93" s="207"/>
    </row>
    <row r="94" spans="1:9" s="188" customFormat="1" ht="18.75">
      <c r="A94" s="208"/>
      <c r="B94" s="197"/>
      <c r="C94" s="202"/>
      <c r="D94" s="203"/>
      <c r="E94" s="203"/>
      <c r="F94" s="203"/>
      <c r="G94" s="203"/>
      <c r="H94" s="204"/>
      <c r="I94" s="207"/>
    </row>
    <row r="95" spans="1:9" s="188" customFormat="1" ht="18.75">
      <c r="A95" s="208"/>
      <c r="B95" s="197"/>
      <c r="C95" s="202"/>
      <c r="D95" s="203"/>
      <c r="E95" s="203"/>
      <c r="F95" s="203"/>
      <c r="G95" s="203"/>
      <c r="H95" s="204"/>
      <c r="I95" s="207"/>
    </row>
    <row r="96" spans="1:9" s="188" customFormat="1" ht="18.75">
      <c r="A96" s="208"/>
      <c r="B96" s="197"/>
      <c r="C96" s="202"/>
      <c r="D96" s="203"/>
      <c r="E96" s="203"/>
      <c r="F96" s="203"/>
      <c r="G96" s="203"/>
      <c r="H96" s="204"/>
      <c r="I96" s="207"/>
    </row>
    <row r="97" spans="1:9" s="188" customFormat="1" ht="18.75">
      <c r="A97" s="208"/>
      <c r="B97" s="197"/>
      <c r="C97" s="202"/>
      <c r="D97" s="203"/>
      <c r="E97" s="203"/>
      <c r="F97" s="203"/>
      <c r="G97" s="203"/>
      <c r="H97" s="204"/>
      <c r="I97" s="207"/>
    </row>
    <row r="98" spans="1:9" s="188" customFormat="1" ht="18.75">
      <c r="A98" s="208"/>
      <c r="B98" s="197"/>
      <c r="C98" s="202"/>
      <c r="D98" s="203"/>
      <c r="E98" s="203"/>
      <c r="F98" s="203"/>
      <c r="G98" s="203"/>
      <c r="H98" s="204"/>
      <c r="I98" s="207"/>
    </row>
    <row r="99" spans="1:9" s="188" customFormat="1" ht="18.75">
      <c r="A99" s="208"/>
      <c r="B99" s="197"/>
      <c r="C99" s="202"/>
      <c r="D99" s="203"/>
      <c r="E99" s="203"/>
      <c r="F99" s="203"/>
      <c r="G99" s="203"/>
      <c r="H99" s="204"/>
      <c r="I99" s="207"/>
    </row>
    <row r="100" spans="1:9" s="188" customFormat="1" ht="18.75">
      <c r="A100" s="208"/>
      <c r="B100" s="197"/>
      <c r="C100" s="202"/>
      <c r="D100" s="203"/>
      <c r="E100" s="203"/>
      <c r="F100" s="203"/>
      <c r="G100" s="203"/>
      <c r="H100" s="204"/>
      <c r="I100" s="207"/>
    </row>
    <row r="101" spans="1:9" s="188" customFormat="1" ht="18.75">
      <c r="A101" s="208"/>
      <c r="B101" s="197"/>
      <c r="C101" s="202"/>
      <c r="D101" s="203"/>
      <c r="E101" s="203"/>
      <c r="F101" s="203"/>
      <c r="G101" s="203"/>
      <c r="H101" s="204"/>
      <c r="I101" s="207"/>
    </row>
    <row r="102" spans="1:9" s="188" customFormat="1" ht="18.75">
      <c r="A102" s="208"/>
      <c r="B102" s="197"/>
      <c r="C102" s="202"/>
      <c r="D102" s="203"/>
      <c r="E102" s="203"/>
      <c r="F102" s="203"/>
      <c r="G102" s="203"/>
      <c r="H102" s="204"/>
      <c r="I102" s="207"/>
    </row>
    <row r="103" spans="1:9" s="188" customFormat="1" ht="18.75">
      <c r="A103" s="208"/>
      <c r="B103" s="197"/>
      <c r="C103" s="202"/>
      <c r="D103" s="203"/>
      <c r="E103" s="203"/>
      <c r="F103" s="203"/>
      <c r="G103" s="203"/>
      <c r="H103" s="204"/>
      <c r="I103" s="207"/>
    </row>
    <row r="104" spans="1:9" s="188" customFormat="1" ht="18.75">
      <c r="A104" s="208"/>
      <c r="B104" s="197"/>
      <c r="C104" s="202"/>
      <c r="D104" s="203"/>
      <c r="E104" s="203"/>
      <c r="F104" s="203"/>
      <c r="G104" s="203"/>
      <c r="H104" s="204"/>
      <c r="I104" s="207"/>
    </row>
    <row r="105" spans="1:9" s="188" customFormat="1" ht="18.75">
      <c r="A105" s="208"/>
      <c r="B105" s="197"/>
      <c r="C105" s="202"/>
      <c r="D105" s="203"/>
      <c r="E105" s="203"/>
      <c r="F105" s="203"/>
      <c r="G105" s="203"/>
      <c r="H105" s="204"/>
      <c r="I105" s="207"/>
    </row>
    <row r="106" spans="1:9" s="188" customFormat="1" ht="18.75">
      <c r="A106" s="208"/>
      <c r="B106" s="197"/>
      <c r="C106" s="202"/>
      <c r="D106" s="203"/>
      <c r="E106" s="203"/>
      <c r="F106" s="203"/>
      <c r="G106" s="203"/>
      <c r="H106" s="204"/>
      <c r="I106" s="207"/>
    </row>
    <row r="107" spans="1:9" s="188" customFormat="1" ht="18.75">
      <c r="A107" s="208"/>
      <c r="B107" s="197"/>
      <c r="C107" s="202"/>
      <c r="D107" s="203"/>
      <c r="E107" s="203"/>
      <c r="F107" s="203"/>
      <c r="G107" s="203"/>
      <c r="H107" s="204"/>
      <c r="I107" s="207"/>
    </row>
    <row r="108" spans="1:9" s="188" customFormat="1" ht="18.75">
      <c r="A108" s="208"/>
      <c r="B108" s="197"/>
      <c r="C108" s="202"/>
      <c r="D108" s="203"/>
      <c r="E108" s="203"/>
      <c r="F108" s="203"/>
      <c r="G108" s="203"/>
      <c r="H108" s="204"/>
      <c r="I108" s="207"/>
    </row>
    <row r="109" spans="1:9" s="188" customFormat="1" ht="18.75">
      <c r="A109" s="208"/>
      <c r="B109" s="197"/>
      <c r="C109" s="202"/>
      <c r="D109" s="203"/>
      <c r="E109" s="203"/>
      <c r="F109" s="203"/>
      <c r="G109" s="203"/>
      <c r="H109" s="204"/>
      <c r="I109" s="207"/>
    </row>
    <row r="110" spans="1:9" s="188" customFormat="1" ht="18.75">
      <c r="A110" s="208"/>
      <c r="B110" s="197"/>
      <c r="C110" s="202"/>
      <c r="D110" s="203"/>
      <c r="E110" s="203"/>
      <c r="F110" s="203"/>
      <c r="G110" s="203"/>
      <c r="H110" s="204"/>
      <c r="I110" s="207"/>
    </row>
    <row r="111" spans="1:9" s="188" customFormat="1" ht="18.75">
      <c r="A111" s="208"/>
      <c r="B111" s="197"/>
      <c r="C111" s="202"/>
      <c r="D111" s="203"/>
      <c r="E111" s="203"/>
      <c r="F111" s="203"/>
      <c r="G111" s="203"/>
      <c r="H111" s="204"/>
      <c r="I111" s="207"/>
    </row>
    <row r="112" spans="1:9" s="188" customFormat="1" ht="18.75">
      <c r="A112" s="208"/>
      <c r="B112" s="197"/>
      <c r="C112" s="202"/>
      <c r="D112" s="203"/>
      <c r="E112" s="203"/>
      <c r="F112" s="203"/>
      <c r="G112" s="203"/>
      <c r="H112" s="204"/>
      <c r="I112" s="207"/>
    </row>
    <row r="113" spans="1:9" s="188" customFormat="1" ht="18.75">
      <c r="A113" s="208"/>
      <c r="B113" s="197"/>
      <c r="C113" s="202"/>
      <c r="D113" s="203"/>
      <c r="E113" s="203"/>
      <c r="F113" s="203"/>
      <c r="G113" s="203"/>
      <c r="H113" s="204"/>
      <c r="I113" s="207"/>
    </row>
    <row r="114" spans="1:9" s="188" customFormat="1" ht="18.75">
      <c r="A114" s="208"/>
      <c r="B114" s="197"/>
      <c r="C114" s="202"/>
      <c r="D114" s="203"/>
      <c r="E114" s="203"/>
      <c r="F114" s="203"/>
      <c r="G114" s="203"/>
      <c r="H114" s="204"/>
      <c r="I114" s="207"/>
    </row>
    <row r="115" spans="1:9" s="188" customFormat="1" ht="18.75">
      <c r="A115" s="208"/>
      <c r="B115" s="197"/>
      <c r="C115" s="202"/>
      <c r="D115" s="203"/>
      <c r="E115" s="203"/>
      <c r="F115" s="203"/>
      <c r="G115" s="203"/>
      <c r="H115" s="204"/>
      <c r="I115" s="207"/>
    </row>
    <row r="116" spans="1:9" s="188" customFormat="1" ht="18.75">
      <c r="A116" s="208"/>
      <c r="B116" s="197"/>
      <c r="C116" s="202"/>
      <c r="D116" s="203"/>
      <c r="E116" s="203"/>
      <c r="F116" s="203"/>
      <c r="G116" s="203"/>
      <c r="H116" s="204"/>
      <c r="I116" s="207"/>
    </row>
    <row r="117" spans="1:9" s="188" customFormat="1" ht="18.75">
      <c r="A117" s="208"/>
      <c r="B117" s="197"/>
      <c r="C117" s="202"/>
      <c r="D117" s="203"/>
      <c r="E117" s="203"/>
      <c r="F117" s="203"/>
      <c r="G117" s="203"/>
      <c r="H117" s="204"/>
      <c r="I117" s="207"/>
    </row>
    <row r="118" spans="1:9" s="188" customFormat="1" ht="18.75">
      <c r="A118" s="208"/>
      <c r="B118" s="197"/>
      <c r="C118" s="202"/>
      <c r="D118" s="203"/>
      <c r="E118" s="203"/>
      <c r="F118" s="203"/>
      <c r="G118" s="203"/>
      <c r="H118" s="204"/>
      <c r="I118" s="207"/>
    </row>
    <row r="119" spans="1:9" s="188" customFormat="1" ht="18.75">
      <c r="A119" s="208"/>
      <c r="B119" s="197"/>
      <c r="C119" s="202"/>
      <c r="D119" s="203"/>
      <c r="E119" s="203"/>
      <c r="F119" s="203"/>
      <c r="G119" s="203"/>
      <c r="H119" s="204"/>
      <c r="I119" s="207"/>
    </row>
    <row r="120" spans="1:9" s="188" customFormat="1" ht="18.75">
      <c r="A120" s="208"/>
      <c r="B120" s="197"/>
      <c r="C120" s="202"/>
      <c r="D120" s="203"/>
      <c r="E120" s="203"/>
      <c r="F120" s="203"/>
      <c r="G120" s="203"/>
      <c r="H120" s="204"/>
      <c r="I120" s="207"/>
    </row>
    <row r="121" spans="1:9" s="188" customFormat="1" ht="18.75">
      <c r="A121" s="208"/>
      <c r="B121" s="197"/>
      <c r="C121" s="202"/>
      <c r="D121" s="203"/>
      <c r="E121" s="203"/>
      <c r="F121" s="203"/>
      <c r="G121" s="203"/>
      <c r="H121" s="204"/>
      <c r="I121" s="207"/>
    </row>
    <row r="122" spans="1:9" s="188" customFormat="1" ht="18.75">
      <c r="A122" s="208"/>
      <c r="B122" s="197"/>
      <c r="C122" s="202"/>
      <c r="D122" s="203"/>
      <c r="E122" s="203"/>
      <c r="F122" s="203"/>
      <c r="G122" s="203"/>
      <c r="H122" s="204"/>
      <c r="I122" s="207"/>
    </row>
    <row r="123" spans="1:9" s="188" customFormat="1" ht="18.75">
      <c r="A123" s="208"/>
      <c r="B123" s="197"/>
      <c r="C123" s="202"/>
      <c r="D123" s="203"/>
      <c r="E123" s="203"/>
      <c r="F123" s="203"/>
      <c r="G123" s="203"/>
      <c r="H123" s="204"/>
      <c r="I123" s="207"/>
    </row>
    <row r="124" spans="1:9" s="188" customFormat="1" ht="18.75">
      <c r="A124" s="208"/>
      <c r="B124" s="197"/>
      <c r="C124" s="202"/>
      <c r="D124" s="203"/>
      <c r="E124" s="203"/>
      <c r="F124" s="203"/>
      <c r="G124" s="203"/>
      <c r="H124" s="204"/>
      <c r="I124" s="207"/>
    </row>
    <row r="125" spans="1:9" s="188" customFormat="1" ht="18.75">
      <c r="A125" s="208"/>
      <c r="B125" s="197"/>
      <c r="C125" s="202"/>
      <c r="D125" s="203"/>
      <c r="E125" s="203"/>
      <c r="F125" s="203"/>
      <c r="G125" s="203"/>
      <c r="H125" s="204"/>
      <c r="I125" s="207"/>
    </row>
    <row r="126" spans="1:9" s="188" customFormat="1" ht="18.75">
      <c r="A126" s="208"/>
      <c r="B126" s="197"/>
      <c r="C126" s="202"/>
      <c r="D126" s="203"/>
      <c r="E126" s="203"/>
      <c r="F126" s="203"/>
      <c r="G126" s="203"/>
      <c r="H126" s="204"/>
      <c r="I126" s="207"/>
    </row>
    <row r="127" spans="1:9" s="188" customFormat="1" ht="18.75">
      <c r="A127" s="208"/>
      <c r="B127" s="197"/>
      <c r="C127" s="202"/>
      <c r="D127" s="203"/>
      <c r="E127" s="203"/>
      <c r="F127" s="203"/>
      <c r="G127" s="203"/>
      <c r="H127" s="204"/>
      <c r="I127" s="207"/>
    </row>
    <row r="128" spans="1:9" s="188" customFormat="1" ht="18.75">
      <c r="A128" s="208"/>
      <c r="B128" s="197"/>
      <c r="C128" s="202"/>
      <c r="D128" s="203"/>
      <c r="E128" s="203"/>
      <c r="F128" s="203"/>
      <c r="G128" s="203"/>
      <c r="H128" s="204"/>
      <c r="I128" s="207"/>
    </row>
    <row r="129" spans="1:9" s="188" customFormat="1" ht="18.75">
      <c r="A129" s="208"/>
      <c r="B129" s="197"/>
      <c r="C129" s="202"/>
      <c r="D129" s="203"/>
      <c r="E129" s="203"/>
      <c r="F129" s="203"/>
      <c r="G129" s="203"/>
      <c r="H129" s="204"/>
      <c r="I129" s="207"/>
    </row>
    <row r="130" spans="1:9" s="188" customFormat="1" ht="18.75">
      <c r="A130" s="208"/>
      <c r="B130" s="197"/>
      <c r="C130" s="202"/>
      <c r="D130" s="203"/>
      <c r="E130" s="203"/>
      <c r="F130" s="203"/>
      <c r="G130" s="203"/>
      <c r="H130" s="204"/>
      <c r="I130" s="207"/>
    </row>
    <row r="131" spans="1:9" s="188" customFormat="1" ht="18.75">
      <c r="A131" s="208"/>
      <c r="B131" s="197"/>
      <c r="C131" s="202"/>
      <c r="D131" s="203"/>
      <c r="E131" s="203"/>
      <c r="F131" s="203"/>
      <c r="G131" s="203"/>
      <c r="H131" s="204"/>
      <c r="I131" s="207"/>
    </row>
    <row r="132" spans="1:9" s="188" customFormat="1" ht="18.75">
      <c r="A132" s="208"/>
      <c r="B132" s="197"/>
      <c r="C132" s="202"/>
      <c r="D132" s="203"/>
      <c r="E132" s="203"/>
      <c r="F132" s="203"/>
      <c r="G132" s="203"/>
      <c r="H132" s="204"/>
      <c r="I132" s="207"/>
    </row>
    <row r="133" spans="1:9" s="188" customFormat="1" ht="18.75">
      <c r="A133" s="208"/>
      <c r="B133" s="197"/>
      <c r="C133" s="202"/>
      <c r="D133" s="203"/>
      <c r="E133" s="203"/>
      <c r="F133" s="203"/>
      <c r="G133" s="203"/>
      <c r="H133" s="204"/>
      <c r="I133" s="207"/>
    </row>
    <row r="134" spans="1:9" s="188" customFormat="1" ht="18.75">
      <c r="A134" s="208"/>
      <c r="B134" s="197"/>
      <c r="C134" s="202"/>
      <c r="D134" s="203"/>
      <c r="E134" s="203"/>
      <c r="F134" s="203"/>
      <c r="G134" s="203"/>
      <c r="H134" s="204"/>
      <c r="I134" s="207"/>
    </row>
    <row r="135" spans="1:9" s="188" customFormat="1" ht="18.75">
      <c r="A135" s="208"/>
      <c r="B135" s="197"/>
      <c r="C135" s="202"/>
      <c r="D135" s="203"/>
      <c r="E135" s="203"/>
      <c r="F135" s="203"/>
      <c r="G135" s="203"/>
      <c r="H135" s="204"/>
      <c r="I135" s="207"/>
    </row>
    <row r="136" spans="1:9" s="188" customFormat="1" ht="18.75">
      <c r="A136" s="208"/>
      <c r="B136" s="197"/>
      <c r="C136" s="202"/>
      <c r="D136" s="203"/>
      <c r="E136" s="203"/>
      <c r="F136" s="203"/>
      <c r="G136" s="203"/>
      <c r="H136" s="204"/>
      <c r="I136" s="207"/>
    </row>
    <row r="137" spans="1:9" s="188" customFormat="1" ht="18.75">
      <c r="A137" s="208"/>
      <c r="B137" s="197"/>
      <c r="C137" s="202"/>
      <c r="D137" s="203"/>
      <c r="E137" s="203"/>
      <c r="F137" s="203"/>
      <c r="G137" s="203"/>
      <c r="H137" s="204"/>
      <c r="I137" s="207"/>
    </row>
    <row r="138" spans="1:9" s="188" customFormat="1" ht="18.75">
      <c r="A138" s="208"/>
      <c r="B138" s="197"/>
      <c r="C138" s="202"/>
      <c r="D138" s="203"/>
      <c r="E138" s="203"/>
      <c r="F138" s="203"/>
      <c r="G138" s="203"/>
      <c r="H138" s="204"/>
      <c r="I138" s="207"/>
    </row>
    <row r="139" spans="1:9" s="188" customFormat="1" ht="18.75">
      <c r="A139" s="208"/>
      <c r="B139" s="197"/>
      <c r="C139" s="202"/>
      <c r="D139" s="203"/>
      <c r="E139" s="203"/>
      <c r="F139" s="203"/>
      <c r="G139" s="203"/>
      <c r="H139" s="204"/>
      <c r="I139" s="207"/>
    </row>
    <row r="140" spans="1:9" s="188" customFormat="1" ht="18.75">
      <c r="A140" s="208"/>
      <c r="B140" s="197"/>
      <c r="C140" s="202"/>
      <c r="D140" s="203"/>
      <c r="E140" s="203"/>
      <c r="F140" s="203"/>
      <c r="G140" s="203"/>
      <c r="H140" s="204"/>
      <c r="I140" s="207"/>
    </row>
    <row r="141" spans="1:9" s="188" customFormat="1" ht="18.75">
      <c r="A141" s="208"/>
      <c r="B141" s="197"/>
      <c r="C141" s="202"/>
      <c r="D141" s="203"/>
      <c r="E141" s="203"/>
      <c r="F141" s="203"/>
      <c r="G141" s="203"/>
      <c r="H141" s="204"/>
      <c r="I141" s="207"/>
    </row>
    <row r="142" spans="1:9" s="188" customFormat="1" ht="18.75">
      <c r="A142" s="208"/>
      <c r="B142" s="197"/>
      <c r="C142" s="202"/>
      <c r="D142" s="203"/>
      <c r="E142" s="203"/>
      <c r="F142" s="203"/>
      <c r="G142" s="203"/>
      <c r="H142" s="204"/>
      <c r="I142" s="207"/>
    </row>
    <row r="143" ht="18.75">
      <c r="A143" s="208"/>
    </row>
  </sheetData>
  <sheetProtection/>
  <autoFilter ref="A7:I80"/>
  <mergeCells count="6">
    <mergeCell ref="B8:C8"/>
    <mergeCell ref="B1:I1"/>
    <mergeCell ref="B2:I2"/>
    <mergeCell ref="B3:I3"/>
    <mergeCell ref="B4:I4"/>
    <mergeCell ref="B5:I5"/>
  </mergeCells>
  <printOptions/>
  <pageMargins left="0.94488188976378" right="0.3" top="0.52" bottom="0.59" header="0.49" footer="0.5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P90"/>
  <sheetViews>
    <sheetView zoomScale="70" zoomScaleNormal="70" zoomScalePageLayoutView="0" workbookViewId="0" topLeftCell="B1">
      <selection activeCell="K8" sqref="K8"/>
    </sheetView>
  </sheetViews>
  <sheetFormatPr defaultColWidth="9.140625" defaultRowHeight="15"/>
  <cols>
    <col min="1" max="1" width="5.00390625" style="88" hidden="1" customWidth="1"/>
    <col min="2" max="2" width="7.421875" style="210" customWidth="1"/>
    <col min="3" max="3" width="32.00390625" style="63" customWidth="1"/>
    <col min="4" max="4" width="8.57421875" style="211" customWidth="1"/>
    <col min="5" max="5" width="8.421875" style="211" customWidth="1"/>
    <col min="6" max="6" width="12.00390625" style="211" customWidth="1"/>
    <col min="7" max="7" width="9.00390625" style="211" customWidth="1"/>
    <col min="8" max="8" width="13.28125" style="212" customWidth="1"/>
    <col min="9" max="9" width="16.28125" style="211" customWidth="1"/>
    <col min="10" max="10" width="16.7109375" style="211" customWidth="1"/>
    <col min="11" max="11" width="17.7109375" style="211" customWidth="1"/>
    <col min="12" max="13" width="14.7109375" style="213" customWidth="1"/>
    <col min="14" max="14" width="12.140625" style="211" customWidth="1"/>
    <col min="15" max="16" width="18.140625" style="19" customWidth="1"/>
    <col min="17" max="17" width="21.00390625" style="19" customWidth="1"/>
    <col min="18" max="48" width="9.140625" style="188" customWidth="1"/>
    <col min="49" max="16384" width="9.140625" style="189" customWidth="1"/>
  </cols>
  <sheetData>
    <row r="1" spans="2:17" ht="22.5" customHeight="1">
      <c r="B1" s="282" t="s">
        <v>311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2:17" ht="38.25" customHeight="1">
      <c r="B2" s="283" t="s">
        <v>312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2:17" ht="28.5" customHeight="1">
      <c r="B3" s="286" t="s">
        <v>21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</row>
    <row r="4" spans="2:17" ht="28.5" customHeight="1">
      <c r="B4" s="334" t="s">
        <v>278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2:17" ht="21" customHeight="1">
      <c r="B5" s="287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</row>
    <row r="6" spans="1:48" s="191" customFormat="1" ht="31.5" customHeight="1">
      <c r="A6" s="307" t="s">
        <v>7</v>
      </c>
      <c r="B6" s="310" t="s">
        <v>7</v>
      </c>
      <c r="C6" s="296" t="s">
        <v>12</v>
      </c>
      <c r="D6" s="304" t="s">
        <v>17</v>
      </c>
      <c r="E6" s="305"/>
      <c r="F6" s="305"/>
      <c r="G6" s="305"/>
      <c r="H6" s="306"/>
      <c r="I6" s="304" t="s">
        <v>237</v>
      </c>
      <c r="J6" s="305"/>
      <c r="K6" s="306"/>
      <c r="L6" s="296" t="s">
        <v>238</v>
      </c>
      <c r="M6" s="296" t="s">
        <v>239</v>
      </c>
      <c r="N6" s="299" t="s">
        <v>279</v>
      </c>
      <c r="O6" s="300"/>
      <c r="P6" s="290" t="s">
        <v>277</v>
      </c>
      <c r="Q6" s="290" t="s">
        <v>0</v>
      </c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</row>
    <row r="7" spans="1:48" s="191" customFormat="1" ht="33.75" customHeight="1">
      <c r="A7" s="308"/>
      <c r="B7" s="311"/>
      <c r="C7" s="297"/>
      <c r="D7" s="313"/>
      <c r="E7" s="314"/>
      <c r="F7" s="314"/>
      <c r="G7" s="314"/>
      <c r="H7" s="315"/>
      <c r="I7" s="323" t="s">
        <v>15</v>
      </c>
      <c r="J7" s="324"/>
      <c r="K7" s="222" t="s">
        <v>98</v>
      </c>
      <c r="L7" s="297"/>
      <c r="M7" s="297"/>
      <c r="N7" s="301"/>
      <c r="O7" s="302"/>
      <c r="P7" s="291"/>
      <c r="Q7" s="291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</row>
    <row r="8" spans="1:48" s="191" customFormat="1" ht="136.5" customHeight="1">
      <c r="A8" s="309"/>
      <c r="B8" s="312"/>
      <c r="C8" s="298"/>
      <c r="D8" s="222" t="s">
        <v>13</v>
      </c>
      <c r="E8" s="222" t="s">
        <v>18</v>
      </c>
      <c r="F8" s="222" t="s">
        <v>240</v>
      </c>
      <c r="G8" s="222" t="s">
        <v>42</v>
      </c>
      <c r="H8" s="61" t="s">
        <v>30</v>
      </c>
      <c r="I8" s="222" t="s">
        <v>241</v>
      </c>
      <c r="J8" s="222" t="s">
        <v>242</v>
      </c>
      <c r="K8" s="222" t="s">
        <v>242</v>
      </c>
      <c r="L8" s="298"/>
      <c r="M8" s="298"/>
      <c r="N8" s="59" t="s">
        <v>280</v>
      </c>
      <c r="O8" s="60" t="s">
        <v>51</v>
      </c>
      <c r="P8" s="292"/>
      <c r="Q8" s="292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</row>
    <row r="9" spans="1:48" s="193" customFormat="1" ht="32.25" customHeight="1">
      <c r="A9" s="57">
        <v>42388</v>
      </c>
      <c r="B9" s="1">
        <v>0</v>
      </c>
      <c r="C9" s="2">
        <v>1</v>
      </c>
      <c r="D9" s="1">
        <v>2</v>
      </c>
      <c r="E9" s="2">
        <v>3</v>
      </c>
      <c r="F9" s="1">
        <v>4</v>
      </c>
      <c r="G9" s="2">
        <v>5</v>
      </c>
      <c r="H9" s="1">
        <v>6</v>
      </c>
      <c r="I9" s="1">
        <v>7</v>
      </c>
      <c r="J9" s="1">
        <v>8</v>
      </c>
      <c r="K9" s="1">
        <v>9</v>
      </c>
      <c r="L9" s="1" t="s">
        <v>296</v>
      </c>
      <c r="M9" s="1">
        <v>11</v>
      </c>
      <c r="N9" s="1">
        <v>12</v>
      </c>
      <c r="O9" s="2" t="s">
        <v>297</v>
      </c>
      <c r="P9" s="2">
        <v>14</v>
      </c>
      <c r="Q9" s="2">
        <v>15</v>
      </c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</row>
    <row r="10" spans="1:133" s="195" customFormat="1" ht="43.5" customHeight="1">
      <c r="A10" s="58"/>
      <c r="B10" s="331" t="s">
        <v>244</v>
      </c>
      <c r="C10" s="332"/>
      <c r="D10" s="332"/>
      <c r="E10" s="332"/>
      <c r="F10" s="332"/>
      <c r="G10" s="332"/>
      <c r="H10" s="333"/>
      <c r="I10" s="56">
        <f>SUM(I11:I26)</f>
        <v>175.5</v>
      </c>
      <c r="J10" s="56">
        <f>SUM(J11:J26)</f>
        <v>5492.1</v>
      </c>
      <c r="K10" s="56">
        <f>SUM(K11:K26)</f>
        <v>14.8</v>
      </c>
      <c r="L10" s="56">
        <f>SUM(L11:L26)</f>
        <v>5682.400000000001</v>
      </c>
      <c r="M10" s="56">
        <f>SUM(M11:M26)</f>
        <v>5682.400000000001</v>
      </c>
      <c r="N10" s="56"/>
      <c r="O10" s="89">
        <f>SUM(O11:O26)</f>
        <v>200924000</v>
      </c>
      <c r="P10" s="89">
        <f>SUM(P11:P26)</f>
        <v>200924000</v>
      </c>
      <c r="Q10" s="89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</row>
    <row r="11" spans="2:17" s="75" customFormat="1" ht="68.25" customHeight="1">
      <c r="B11" s="84">
        <v>1</v>
      </c>
      <c r="C11" s="180" t="s">
        <v>151</v>
      </c>
      <c r="D11" s="84" t="s">
        <v>99</v>
      </c>
      <c r="E11" s="84" t="s">
        <v>100</v>
      </c>
      <c r="F11" s="86">
        <v>492.5</v>
      </c>
      <c r="G11" s="86" t="s">
        <v>29</v>
      </c>
      <c r="H11" s="87" t="s">
        <v>40</v>
      </c>
      <c r="I11" s="80"/>
      <c r="J11" s="80">
        <v>492.5</v>
      </c>
      <c r="K11" s="80"/>
      <c r="L11" s="62">
        <f>I11+J11+K11</f>
        <v>492.5</v>
      </c>
      <c r="M11" s="56">
        <f>L11</f>
        <v>492.5</v>
      </c>
      <c r="N11" s="81">
        <v>40000</v>
      </c>
      <c r="O11" s="81">
        <f aca="true" t="shared" si="0" ref="O11:O25">L11*N11</f>
        <v>19700000</v>
      </c>
      <c r="P11" s="83">
        <f>O11</f>
        <v>19700000</v>
      </c>
      <c r="Q11" s="81"/>
    </row>
    <row r="12" spans="2:17" s="75" customFormat="1" ht="45.75" customHeight="1">
      <c r="B12" s="84">
        <v>2</v>
      </c>
      <c r="C12" s="180" t="s">
        <v>101</v>
      </c>
      <c r="D12" s="84" t="s">
        <v>102</v>
      </c>
      <c r="E12" s="84" t="s">
        <v>100</v>
      </c>
      <c r="F12" s="86">
        <v>312.3</v>
      </c>
      <c r="G12" s="86" t="s">
        <v>29</v>
      </c>
      <c r="H12" s="87" t="s">
        <v>40</v>
      </c>
      <c r="I12" s="80"/>
      <c r="J12" s="80">
        <v>224.5</v>
      </c>
      <c r="K12" s="80"/>
      <c r="L12" s="62">
        <f aca="true" t="shared" si="1" ref="L12:L26">I12+J12+K12</f>
        <v>224.5</v>
      </c>
      <c r="M12" s="56">
        <f>L12</f>
        <v>224.5</v>
      </c>
      <c r="N12" s="81">
        <v>40000</v>
      </c>
      <c r="O12" s="81">
        <f t="shared" si="0"/>
        <v>8980000</v>
      </c>
      <c r="P12" s="83">
        <f>O12</f>
        <v>8980000</v>
      </c>
      <c r="Q12" s="81"/>
    </row>
    <row r="13" spans="2:17" s="75" customFormat="1" ht="45.75" customHeight="1">
      <c r="B13" s="84">
        <v>3</v>
      </c>
      <c r="C13" s="85" t="s">
        <v>104</v>
      </c>
      <c r="D13" s="84" t="s">
        <v>105</v>
      </c>
      <c r="E13" s="84" t="s">
        <v>100</v>
      </c>
      <c r="F13" s="86">
        <v>696.1</v>
      </c>
      <c r="G13" s="86" t="s">
        <v>50</v>
      </c>
      <c r="H13" s="87" t="s">
        <v>40</v>
      </c>
      <c r="I13" s="80"/>
      <c r="J13" s="80">
        <v>594.4</v>
      </c>
      <c r="K13" s="80"/>
      <c r="L13" s="62">
        <f t="shared" si="1"/>
        <v>594.4</v>
      </c>
      <c r="M13" s="335">
        <f>L13+L14</f>
        <v>650.3</v>
      </c>
      <c r="N13" s="81">
        <v>40000</v>
      </c>
      <c r="O13" s="81">
        <f t="shared" si="0"/>
        <v>23776000</v>
      </c>
      <c r="P13" s="279">
        <f>O13+O14</f>
        <v>26012000</v>
      </c>
      <c r="Q13" s="81"/>
    </row>
    <row r="14" spans="2:17" s="75" customFormat="1" ht="45.75" customHeight="1">
      <c r="B14" s="84">
        <v>3</v>
      </c>
      <c r="C14" s="85" t="s">
        <v>104</v>
      </c>
      <c r="D14" s="84" t="s">
        <v>53</v>
      </c>
      <c r="E14" s="84" t="s">
        <v>39</v>
      </c>
      <c r="F14" s="86">
        <v>130.9</v>
      </c>
      <c r="G14" s="86" t="s">
        <v>29</v>
      </c>
      <c r="H14" s="87" t="s">
        <v>40</v>
      </c>
      <c r="I14" s="80">
        <v>55.9</v>
      </c>
      <c r="J14" s="80"/>
      <c r="K14" s="80"/>
      <c r="L14" s="62">
        <f t="shared" si="1"/>
        <v>55.9</v>
      </c>
      <c r="M14" s="336"/>
      <c r="N14" s="81">
        <v>40000</v>
      </c>
      <c r="O14" s="81">
        <f t="shared" si="0"/>
        <v>2236000</v>
      </c>
      <c r="P14" s="281"/>
      <c r="Q14" s="81"/>
    </row>
    <row r="15" spans="2:17" s="75" customFormat="1" ht="45.75" customHeight="1">
      <c r="B15" s="84">
        <v>4</v>
      </c>
      <c r="C15" s="85" t="s">
        <v>106</v>
      </c>
      <c r="D15" s="84" t="s">
        <v>107</v>
      </c>
      <c r="E15" s="84" t="s">
        <v>100</v>
      </c>
      <c r="F15" s="86">
        <v>243.4</v>
      </c>
      <c r="G15" s="86" t="s">
        <v>29</v>
      </c>
      <c r="H15" s="87" t="s">
        <v>40</v>
      </c>
      <c r="I15" s="80"/>
      <c r="J15" s="80">
        <v>243.4</v>
      </c>
      <c r="K15" s="80"/>
      <c r="L15" s="62">
        <f t="shared" si="1"/>
        <v>243.4</v>
      </c>
      <c r="M15" s="56">
        <f aca="true" t="shared" si="2" ref="M15:M21">L15</f>
        <v>243.4</v>
      </c>
      <c r="N15" s="81">
        <v>40000</v>
      </c>
      <c r="O15" s="81">
        <f t="shared" si="0"/>
        <v>9736000</v>
      </c>
      <c r="P15" s="83">
        <f aca="true" t="shared" si="3" ref="P15:P21">O15</f>
        <v>9736000</v>
      </c>
      <c r="Q15" s="81"/>
    </row>
    <row r="16" spans="2:17" s="75" customFormat="1" ht="45.75" customHeight="1">
      <c r="B16" s="76">
        <v>5</v>
      </c>
      <c r="C16" s="77" t="s">
        <v>41</v>
      </c>
      <c r="D16" s="76" t="s">
        <v>138</v>
      </c>
      <c r="E16" s="76" t="s">
        <v>39</v>
      </c>
      <c r="F16" s="78">
        <v>33.5</v>
      </c>
      <c r="G16" s="78" t="s">
        <v>29</v>
      </c>
      <c r="H16" s="79" t="s">
        <v>40</v>
      </c>
      <c r="I16" s="78"/>
      <c r="J16" s="80">
        <v>33.5</v>
      </c>
      <c r="K16" s="80"/>
      <c r="L16" s="62">
        <f t="shared" si="1"/>
        <v>33.5</v>
      </c>
      <c r="M16" s="56">
        <f t="shared" si="2"/>
        <v>33.5</v>
      </c>
      <c r="N16" s="81">
        <v>40000</v>
      </c>
      <c r="O16" s="81">
        <f aca="true" t="shared" si="4" ref="O16:O21">L16*N16</f>
        <v>1340000</v>
      </c>
      <c r="P16" s="83">
        <f t="shared" si="3"/>
        <v>1340000</v>
      </c>
      <c r="Q16" s="81"/>
    </row>
    <row r="17" spans="2:17" s="75" customFormat="1" ht="45.75" customHeight="1">
      <c r="B17" s="84">
        <v>6</v>
      </c>
      <c r="C17" s="85" t="s">
        <v>144</v>
      </c>
      <c r="D17" s="84" t="s">
        <v>139</v>
      </c>
      <c r="E17" s="84" t="s">
        <v>39</v>
      </c>
      <c r="F17" s="86">
        <v>94.3</v>
      </c>
      <c r="G17" s="86" t="s">
        <v>29</v>
      </c>
      <c r="H17" s="87" t="s">
        <v>40</v>
      </c>
      <c r="I17" s="86">
        <v>94.3</v>
      </c>
      <c r="J17" s="80"/>
      <c r="K17" s="80"/>
      <c r="L17" s="62">
        <f t="shared" si="1"/>
        <v>94.3</v>
      </c>
      <c r="M17" s="56">
        <f t="shared" si="2"/>
        <v>94.3</v>
      </c>
      <c r="N17" s="81">
        <v>40000</v>
      </c>
      <c r="O17" s="81">
        <f t="shared" si="4"/>
        <v>3772000</v>
      </c>
      <c r="P17" s="83">
        <f t="shared" si="3"/>
        <v>3772000</v>
      </c>
      <c r="Q17" s="81"/>
    </row>
    <row r="18" spans="2:17" s="75" customFormat="1" ht="46.5" customHeight="1">
      <c r="B18" s="76">
        <v>7</v>
      </c>
      <c r="C18" s="77" t="s">
        <v>143</v>
      </c>
      <c r="D18" s="76">
        <v>283</v>
      </c>
      <c r="E18" s="76">
        <v>5</v>
      </c>
      <c r="F18" s="78">
        <v>316.5</v>
      </c>
      <c r="G18" s="78" t="s">
        <v>1</v>
      </c>
      <c r="H18" s="79" t="s">
        <v>40</v>
      </c>
      <c r="I18" s="80"/>
      <c r="J18" s="80">
        <v>44.1</v>
      </c>
      <c r="K18" s="80"/>
      <c r="L18" s="62">
        <f t="shared" si="1"/>
        <v>44.1</v>
      </c>
      <c r="M18" s="56">
        <f t="shared" si="2"/>
        <v>44.1</v>
      </c>
      <c r="N18" s="81">
        <v>40000</v>
      </c>
      <c r="O18" s="81">
        <f t="shared" si="4"/>
        <v>1764000</v>
      </c>
      <c r="P18" s="83">
        <f t="shared" si="3"/>
        <v>1764000</v>
      </c>
      <c r="Q18" s="81"/>
    </row>
    <row r="19" spans="2:17" s="75" customFormat="1" ht="45.75" customHeight="1">
      <c r="B19" s="84">
        <v>8</v>
      </c>
      <c r="C19" s="85" t="s">
        <v>145</v>
      </c>
      <c r="D19" s="84" t="s">
        <v>132</v>
      </c>
      <c r="E19" s="84" t="s">
        <v>39</v>
      </c>
      <c r="F19" s="187">
        <v>1709.7</v>
      </c>
      <c r="G19" s="86" t="s">
        <v>29</v>
      </c>
      <c r="H19" s="87" t="s">
        <v>40</v>
      </c>
      <c r="I19" s="187"/>
      <c r="J19" s="80">
        <v>1694.9</v>
      </c>
      <c r="K19" s="80">
        <v>14.8</v>
      </c>
      <c r="L19" s="62">
        <f t="shared" si="1"/>
        <v>1709.7</v>
      </c>
      <c r="M19" s="56">
        <f t="shared" si="2"/>
        <v>1709.7</v>
      </c>
      <c r="N19" s="81">
        <v>40000</v>
      </c>
      <c r="O19" s="81">
        <f t="shared" si="4"/>
        <v>68388000</v>
      </c>
      <c r="P19" s="83">
        <f t="shared" si="3"/>
        <v>68388000</v>
      </c>
      <c r="Q19" s="81"/>
    </row>
    <row r="20" spans="2:17" s="65" customFormat="1" ht="45.75" customHeight="1">
      <c r="B20" s="71">
        <v>9</v>
      </c>
      <c r="C20" s="74" t="s">
        <v>136</v>
      </c>
      <c r="D20" s="71" t="s">
        <v>137</v>
      </c>
      <c r="E20" s="71" t="s">
        <v>103</v>
      </c>
      <c r="F20" s="72">
        <v>823.5</v>
      </c>
      <c r="G20" s="72" t="s">
        <v>50</v>
      </c>
      <c r="H20" s="73" t="s">
        <v>40</v>
      </c>
      <c r="I20" s="72"/>
      <c r="J20" s="66">
        <v>823.5</v>
      </c>
      <c r="K20" s="66"/>
      <c r="L20" s="62">
        <f t="shared" si="1"/>
        <v>823.5</v>
      </c>
      <c r="M20" s="225">
        <f t="shared" si="2"/>
        <v>823.5</v>
      </c>
      <c r="N20" s="81">
        <v>40000</v>
      </c>
      <c r="O20" s="67">
        <f t="shared" si="4"/>
        <v>32940000</v>
      </c>
      <c r="P20" s="226">
        <f t="shared" si="3"/>
        <v>32940000</v>
      </c>
      <c r="Q20" s="67"/>
    </row>
    <row r="21" spans="2:17" s="65" customFormat="1" ht="45.75" customHeight="1">
      <c r="B21" s="71">
        <v>10</v>
      </c>
      <c r="C21" s="220" t="s">
        <v>289</v>
      </c>
      <c r="D21" s="71" t="s">
        <v>290</v>
      </c>
      <c r="E21" s="71" t="s">
        <v>39</v>
      </c>
      <c r="F21" s="72">
        <v>100.2</v>
      </c>
      <c r="G21" s="72" t="s">
        <v>29</v>
      </c>
      <c r="H21" s="224" t="s">
        <v>40</v>
      </c>
      <c r="I21" s="72"/>
      <c r="J21" s="66">
        <v>48</v>
      </c>
      <c r="K21" s="66"/>
      <c r="L21" s="62">
        <f t="shared" si="1"/>
        <v>48</v>
      </c>
      <c r="M21" s="225">
        <f t="shared" si="2"/>
        <v>48</v>
      </c>
      <c r="N21" s="81">
        <v>40000</v>
      </c>
      <c r="O21" s="67">
        <f t="shared" si="4"/>
        <v>1920000</v>
      </c>
      <c r="P21" s="226">
        <f t="shared" si="3"/>
        <v>1920000</v>
      </c>
      <c r="Q21" s="67"/>
    </row>
    <row r="22" spans="2:17" s="75" customFormat="1" ht="45.75" customHeight="1">
      <c r="B22" s="76">
        <v>11</v>
      </c>
      <c r="C22" s="77" t="s">
        <v>49</v>
      </c>
      <c r="D22" s="76" t="s">
        <v>130</v>
      </c>
      <c r="E22" s="76" t="s">
        <v>39</v>
      </c>
      <c r="F22" s="78">
        <v>303.7</v>
      </c>
      <c r="G22" s="78" t="s">
        <v>50</v>
      </c>
      <c r="H22" s="79" t="s">
        <v>40</v>
      </c>
      <c r="I22" s="78"/>
      <c r="J22" s="80">
        <v>303.7</v>
      </c>
      <c r="K22" s="80"/>
      <c r="L22" s="62">
        <f t="shared" si="1"/>
        <v>303.7</v>
      </c>
      <c r="M22" s="335">
        <f>L22+L23</f>
        <v>377.2</v>
      </c>
      <c r="N22" s="81">
        <v>20000</v>
      </c>
      <c r="O22" s="81">
        <f t="shared" si="0"/>
        <v>6074000</v>
      </c>
      <c r="P22" s="279">
        <f>O22+O23</f>
        <v>7544000</v>
      </c>
      <c r="Q22" s="227" t="s">
        <v>288</v>
      </c>
    </row>
    <row r="23" spans="2:17" s="75" customFormat="1" ht="45.75" customHeight="1">
      <c r="B23" s="84">
        <v>11</v>
      </c>
      <c r="C23" s="85" t="s">
        <v>49</v>
      </c>
      <c r="D23" s="84" t="s">
        <v>131</v>
      </c>
      <c r="E23" s="84" t="s">
        <v>39</v>
      </c>
      <c r="F23" s="86">
        <v>73.5</v>
      </c>
      <c r="G23" s="78" t="s">
        <v>50</v>
      </c>
      <c r="H23" s="87" t="s">
        <v>40</v>
      </c>
      <c r="I23" s="86"/>
      <c r="J23" s="80">
        <v>73.5</v>
      </c>
      <c r="K23" s="80"/>
      <c r="L23" s="62">
        <f t="shared" si="1"/>
        <v>73.5</v>
      </c>
      <c r="M23" s="336"/>
      <c r="N23" s="81">
        <v>20000</v>
      </c>
      <c r="O23" s="81">
        <f t="shared" si="0"/>
        <v>1470000</v>
      </c>
      <c r="P23" s="281"/>
      <c r="Q23" s="227" t="s">
        <v>288</v>
      </c>
    </row>
    <row r="24" spans="2:17" s="75" customFormat="1" ht="45.75" customHeight="1">
      <c r="B24" s="84">
        <v>12</v>
      </c>
      <c r="C24" s="85" t="s">
        <v>142</v>
      </c>
      <c r="D24" s="84" t="s">
        <v>133</v>
      </c>
      <c r="E24" s="84" t="s">
        <v>100</v>
      </c>
      <c r="F24" s="86">
        <v>129</v>
      </c>
      <c r="G24" s="86" t="s">
        <v>50</v>
      </c>
      <c r="H24" s="87" t="s">
        <v>40</v>
      </c>
      <c r="I24" s="86"/>
      <c r="J24" s="80">
        <v>129</v>
      </c>
      <c r="K24" s="80"/>
      <c r="L24" s="62">
        <f t="shared" si="1"/>
        <v>129</v>
      </c>
      <c r="M24" s="56">
        <f>L24</f>
        <v>129</v>
      </c>
      <c r="N24" s="81">
        <v>20000</v>
      </c>
      <c r="O24" s="81">
        <f t="shared" si="0"/>
        <v>2580000</v>
      </c>
      <c r="P24" s="83">
        <f>O24</f>
        <v>2580000</v>
      </c>
      <c r="Q24" s="227" t="s">
        <v>288</v>
      </c>
    </row>
    <row r="25" spans="2:17" s="75" customFormat="1" ht="45.75" customHeight="1">
      <c r="B25" s="84">
        <v>13</v>
      </c>
      <c r="C25" s="85" t="s">
        <v>134</v>
      </c>
      <c r="D25" s="84" t="s">
        <v>135</v>
      </c>
      <c r="E25" s="84" t="s">
        <v>103</v>
      </c>
      <c r="F25" s="86">
        <v>787.1</v>
      </c>
      <c r="G25" s="86" t="s">
        <v>50</v>
      </c>
      <c r="H25" s="87" t="s">
        <v>40</v>
      </c>
      <c r="I25" s="86"/>
      <c r="J25" s="80">
        <v>787.1</v>
      </c>
      <c r="K25" s="80"/>
      <c r="L25" s="62">
        <f t="shared" si="1"/>
        <v>787.1</v>
      </c>
      <c r="M25" s="56">
        <f>L25</f>
        <v>787.1</v>
      </c>
      <c r="N25" s="81">
        <v>20000</v>
      </c>
      <c r="O25" s="81">
        <f t="shared" si="0"/>
        <v>15742000</v>
      </c>
      <c r="P25" s="83">
        <f>O25</f>
        <v>15742000</v>
      </c>
      <c r="Q25" s="227" t="s">
        <v>288</v>
      </c>
    </row>
    <row r="26" spans="2:17" s="75" customFormat="1" ht="45.75" customHeight="1">
      <c r="B26" s="84">
        <v>14</v>
      </c>
      <c r="C26" s="85" t="s">
        <v>140</v>
      </c>
      <c r="D26" s="84" t="s">
        <v>141</v>
      </c>
      <c r="E26" s="84" t="s">
        <v>100</v>
      </c>
      <c r="F26" s="86">
        <v>73.6</v>
      </c>
      <c r="G26" s="86" t="s">
        <v>1</v>
      </c>
      <c r="H26" s="87" t="s">
        <v>40</v>
      </c>
      <c r="I26" s="86">
        <v>25.3</v>
      </c>
      <c r="J26" s="80"/>
      <c r="K26" s="80"/>
      <c r="L26" s="62">
        <f t="shared" si="1"/>
        <v>25.3</v>
      </c>
      <c r="M26" s="56">
        <f>L26</f>
        <v>25.3</v>
      </c>
      <c r="N26" s="81">
        <v>20000</v>
      </c>
      <c r="O26" s="81">
        <f>L26*N26</f>
        <v>506000</v>
      </c>
      <c r="P26" s="83">
        <f>O26</f>
        <v>506000</v>
      </c>
      <c r="Q26" s="227" t="s">
        <v>288</v>
      </c>
    </row>
    <row r="27" spans="1:17" s="188" customFormat="1" ht="18.75">
      <c r="A27" s="88"/>
      <c r="B27" s="197"/>
      <c r="C27" s="64"/>
      <c r="D27" s="198"/>
      <c r="E27" s="198"/>
      <c r="F27" s="198"/>
      <c r="G27" s="198"/>
      <c r="H27" s="199"/>
      <c r="I27" s="198"/>
      <c r="J27" s="198"/>
      <c r="K27" s="198"/>
      <c r="L27" s="200"/>
      <c r="M27" s="200"/>
      <c r="N27" s="198"/>
      <c r="O27" s="201"/>
      <c r="P27" s="201"/>
      <c r="Q27" s="201"/>
    </row>
    <row r="28" spans="1:17" s="188" customFormat="1" ht="25.5" customHeight="1">
      <c r="A28" s="208"/>
      <c r="B28" s="197"/>
      <c r="C28" s="64"/>
      <c r="D28" s="198"/>
      <c r="E28" s="198"/>
      <c r="F28" s="198"/>
      <c r="G28" s="198"/>
      <c r="H28" s="199"/>
      <c r="I28" s="198"/>
      <c r="J28" s="198"/>
      <c r="K28" s="198"/>
      <c r="L28" s="200"/>
      <c r="M28" s="200"/>
      <c r="N28" s="198"/>
      <c r="O28" s="201"/>
      <c r="P28" s="201"/>
      <c r="Q28" s="201"/>
    </row>
    <row r="29" spans="1:17" s="188" customFormat="1" ht="25.5" customHeight="1">
      <c r="A29" s="208"/>
      <c r="B29" s="197"/>
      <c r="C29" s="64"/>
      <c r="D29" s="198"/>
      <c r="E29" s="198"/>
      <c r="F29" s="198"/>
      <c r="G29" s="198"/>
      <c r="H29" s="199"/>
      <c r="I29" s="198"/>
      <c r="J29" s="198"/>
      <c r="K29" s="198"/>
      <c r="L29" s="200"/>
      <c r="M29" s="200"/>
      <c r="N29" s="198"/>
      <c r="O29" s="201"/>
      <c r="P29" s="201"/>
      <c r="Q29" s="201"/>
    </row>
    <row r="30" spans="1:17" s="188" customFormat="1" ht="18.75">
      <c r="A30" s="208"/>
      <c r="B30" s="197"/>
      <c r="C30" s="64"/>
      <c r="D30" s="198"/>
      <c r="E30" s="198"/>
      <c r="F30" s="198"/>
      <c r="G30" s="198"/>
      <c r="H30" s="199"/>
      <c r="I30" s="198"/>
      <c r="J30" s="198"/>
      <c r="K30" s="198"/>
      <c r="L30" s="200"/>
      <c r="M30" s="200"/>
      <c r="N30" s="198"/>
      <c r="O30" s="201"/>
      <c r="P30" s="201"/>
      <c r="Q30" s="201"/>
    </row>
    <row r="31" spans="1:17" s="188" customFormat="1" ht="18.75">
      <c r="A31" s="208"/>
      <c r="B31" s="197"/>
      <c r="C31" s="64"/>
      <c r="D31" s="198"/>
      <c r="E31" s="198"/>
      <c r="F31" s="198"/>
      <c r="G31" s="198"/>
      <c r="H31" s="199"/>
      <c r="I31" s="198"/>
      <c r="J31" s="198"/>
      <c r="K31" s="198"/>
      <c r="L31" s="200"/>
      <c r="M31" s="200"/>
      <c r="N31" s="198"/>
      <c r="O31" s="201"/>
      <c r="P31" s="201"/>
      <c r="Q31" s="201"/>
    </row>
    <row r="32" spans="1:17" s="188" customFormat="1" ht="18.75">
      <c r="A32" s="208"/>
      <c r="B32" s="197"/>
      <c r="C32" s="64"/>
      <c r="D32" s="198"/>
      <c r="E32" s="198"/>
      <c r="F32" s="198"/>
      <c r="G32" s="198"/>
      <c r="H32" s="199"/>
      <c r="I32" s="198"/>
      <c r="J32" s="198"/>
      <c r="K32" s="198"/>
      <c r="L32" s="200"/>
      <c r="M32" s="200"/>
      <c r="N32" s="198"/>
      <c r="O32" s="201"/>
      <c r="P32" s="201"/>
      <c r="Q32" s="201"/>
    </row>
    <row r="33" spans="1:17" s="188" customFormat="1" ht="18.75">
      <c r="A33" s="208"/>
      <c r="B33" s="197"/>
      <c r="C33" s="64"/>
      <c r="D33" s="198"/>
      <c r="E33" s="198"/>
      <c r="F33" s="198"/>
      <c r="G33" s="198"/>
      <c r="H33" s="199"/>
      <c r="I33" s="198"/>
      <c r="J33" s="198"/>
      <c r="K33" s="198"/>
      <c r="L33" s="200"/>
      <c r="M33" s="200"/>
      <c r="N33" s="198"/>
      <c r="O33" s="201"/>
      <c r="P33" s="201"/>
      <c r="Q33" s="201"/>
    </row>
    <row r="34" spans="1:17" s="188" customFormat="1" ht="18.75">
      <c r="A34" s="208"/>
      <c r="B34" s="197"/>
      <c r="C34" s="64"/>
      <c r="D34" s="198"/>
      <c r="E34" s="198"/>
      <c r="F34" s="198"/>
      <c r="G34" s="198"/>
      <c r="H34" s="199"/>
      <c r="I34" s="198"/>
      <c r="J34" s="198"/>
      <c r="K34" s="198"/>
      <c r="L34" s="200"/>
      <c r="M34" s="200"/>
      <c r="N34" s="198"/>
      <c r="O34" s="201"/>
      <c r="P34" s="201"/>
      <c r="Q34" s="201"/>
    </row>
    <row r="35" spans="1:17" s="188" customFormat="1" ht="27.75" customHeight="1">
      <c r="A35" s="208"/>
      <c r="B35" s="197"/>
      <c r="C35" s="64"/>
      <c r="D35" s="198"/>
      <c r="E35" s="198"/>
      <c r="F35" s="198"/>
      <c r="G35" s="198"/>
      <c r="H35" s="199"/>
      <c r="I35" s="198"/>
      <c r="J35" s="198"/>
      <c r="K35" s="198"/>
      <c r="L35" s="200"/>
      <c r="M35" s="200"/>
      <c r="N35" s="198"/>
      <c r="O35" s="201"/>
      <c r="P35" s="201"/>
      <c r="Q35" s="201"/>
    </row>
    <row r="36" spans="1:17" s="188" customFormat="1" ht="18.75">
      <c r="A36" s="208"/>
      <c r="B36" s="197"/>
      <c r="C36" s="64"/>
      <c r="D36" s="198"/>
      <c r="E36" s="198"/>
      <c r="F36" s="198"/>
      <c r="G36" s="198"/>
      <c r="H36" s="199"/>
      <c r="I36" s="198"/>
      <c r="J36" s="198"/>
      <c r="K36" s="198"/>
      <c r="L36" s="200"/>
      <c r="M36" s="200"/>
      <c r="N36" s="198"/>
      <c r="O36" s="201"/>
      <c r="P36" s="201"/>
      <c r="Q36" s="201"/>
    </row>
    <row r="37" spans="1:17" s="188" customFormat="1" ht="18.75">
      <c r="A37" s="208"/>
      <c r="B37" s="197"/>
      <c r="C37" s="64"/>
      <c r="D37" s="198"/>
      <c r="E37" s="198"/>
      <c r="F37" s="198"/>
      <c r="G37" s="198"/>
      <c r="H37" s="199"/>
      <c r="I37" s="198"/>
      <c r="J37" s="198"/>
      <c r="K37" s="198"/>
      <c r="L37" s="200"/>
      <c r="M37" s="200"/>
      <c r="N37" s="198"/>
      <c r="O37" s="201"/>
      <c r="P37" s="201"/>
      <c r="Q37" s="201"/>
    </row>
    <row r="38" spans="1:17" s="188" customFormat="1" ht="18.75">
      <c r="A38" s="208"/>
      <c r="B38" s="197"/>
      <c r="C38" s="64"/>
      <c r="D38" s="198"/>
      <c r="E38" s="198"/>
      <c r="F38" s="198"/>
      <c r="G38" s="198"/>
      <c r="H38" s="199"/>
      <c r="I38" s="198"/>
      <c r="J38" s="198"/>
      <c r="K38" s="198"/>
      <c r="L38" s="200"/>
      <c r="M38" s="200"/>
      <c r="N38" s="198"/>
      <c r="O38" s="201"/>
      <c r="P38" s="201"/>
      <c r="Q38" s="201"/>
    </row>
    <row r="39" spans="1:17" s="188" customFormat="1" ht="18.75">
      <c r="A39" s="208"/>
      <c r="B39" s="197"/>
      <c r="C39" s="64"/>
      <c r="D39" s="198"/>
      <c r="E39" s="198"/>
      <c r="F39" s="198"/>
      <c r="G39" s="198"/>
      <c r="H39" s="199"/>
      <c r="I39" s="198"/>
      <c r="J39" s="198"/>
      <c r="K39" s="198"/>
      <c r="L39" s="200"/>
      <c r="M39" s="200"/>
      <c r="N39" s="198"/>
      <c r="O39" s="201"/>
      <c r="P39" s="201"/>
      <c r="Q39" s="201"/>
    </row>
    <row r="40" spans="1:17" s="188" customFormat="1" ht="18.75">
      <c r="A40" s="208"/>
      <c r="B40" s="197"/>
      <c r="C40" s="64"/>
      <c r="D40" s="198"/>
      <c r="E40" s="198"/>
      <c r="F40" s="198"/>
      <c r="G40" s="198"/>
      <c r="H40" s="199"/>
      <c r="I40" s="198"/>
      <c r="J40" s="198"/>
      <c r="K40" s="198"/>
      <c r="L40" s="200"/>
      <c r="M40" s="200"/>
      <c r="N40" s="198"/>
      <c r="O40" s="201"/>
      <c r="P40" s="201"/>
      <c r="Q40" s="201"/>
    </row>
    <row r="41" spans="1:17" s="188" customFormat="1" ht="18.75">
      <c r="A41" s="208"/>
      <c r="B41" s="197"/>
      <c r="C41" s="64"/>
      <c r="D41" s="198"/>
      <c r="E41" s="198"/>
      <c r="F41" s="198"/>
      <c r="G41" s="198"/>
      <c r="H41" s="199"/>
      <c r="I41" s="198"/>
      <c r="J41" s="198"/>
      <c r="K41" s="198"/>
      <c r="L41" s="200"/>
      <c r="M41" s="200"/>
      <c r="N41" s="198"/>
      <c r="O41" s="201"/>
      <c r="P41" s="201"/>
      <c r="Q41" s="201"/>
    </row>
    <row r="42" spans="1:17" s="188" customFormat="1" ht="18.75">
      <c r="A42" s="208"/>
      <c r="B42" s="197"/>
      <c r="C42" s="64"/>
      <c r="D42" s="198"/>
      <c r="E42" s="198"/>
      <c r="F42" s="198"/>
      <c r="G42" s="198"/>
      <c r="H42" s="199"/>
      <c r="I42" s="198"/>
      <c r="J42" s="198"/>
      <c r="K42" s="198"/>
      <c r="L42" s="200"/>
      <c r="M42" s="200"/>
      <c r="N42" s="198"/>
      <c r="O42" s="201"/>
      <c r="P42" s="201"/>
      <c r="Q42" s="201"/>
    </row>
    <row r="43" spans="1:17" s="188" customFormat="1" ht="18.75">
      <c r="A43" s="208"/>
      <c r="B43" s="197"/>
      <c r="C43" s="64"/>
      <c r="D43" s="198"/>
      <c r="E43" s="198"/>
      <c r="F43" s="198"/>
      <c r="G43" s="198"/>
      <c r="H43" s="199"/>
      <c r="I43" s="198"/>
      <c r="J43" s="198"/>
      <c r="K43" s="198"/>
      <c r="L43" s="200"/>
      <c r="M43" s="200"/>
      <c r="N43" s="198"/>
      <c r="O43" s="201"/>
      <c r="P43" s="201"/>
      <c r="Q43" s="201"/>
    </row>
    <row r="44" spans="1:17" s="188" customFormat="1" ht="18.75">
      <c r="A44" s="208"/>
      <c r="B44" s="197"/>
      <c r="C44" s="64"/>
      <c r="D44" s="198"/>
      <c r="E44" s="198"/>
      <c r="F44" s="198"/>
      <c r="G44" s="198"/>
      <c r="H44" s="199"/>
      <c r="I44" s="198"/>
      <c r="J44" s="198"/>
      <c r="K44" s="198"/>
      <c r="L44" s="200"/>
      <c r="M44" s="200"/>
      <c r="N44" s="198"/>
      <c r="O44" s="201"/>
      <c r="P44" s="201"/>
      <c r="Q44" s="201"/>
    </row>
    <row r="45" spans="1:17" s="188" customFormat="1" ht="18.75">
      <c r="A45" s="208"/>
      <c r="B45" s="197"/>
      <c r="C45" s="64"/>
      <c r="D45" s="198"/>
      <c r="E45" s="198"/>
      <c r="F45" s="198"/>
      <c r="G45" s="198"/>
      <c r="H45" s="199"/>
      <c r="I45" s="198"/>
      <c r="J45" s="198"/>
      <c r="K45" s="198"/>
      <c r="L45" s="200"/>
      <c r="M45" s="200"/>
      <c r="N45" s="198"/>
      <c r="O45" s="201"/>
      <c r="P45" s="201"/>
      <c r="Q45" s="201"/>
    </row>
    <row r="46" spans="1:17" s="188" customFormat="1" ht="18.75">
      <c r="A46" s="208"/>
      <c r="B46" s="197"/>
      <c r="C46" s="64"/>
      <c r="D46" s="198"/>
      <c r="E46" s="198"/>
      <c r="F46" s="198"/>
      <c r="G46" s="198"/>
      <c r="H46" s="199"/>
      <c r="I46" s="198"/>
      <c r="J46" s="198"/>
      <c r="K46" s="198"/>
      <c r="L46" s="200"/>
      <c r="M46" s="200"/>
      <c r="N46" s="198"/>
      <c r="O46" s="201"/>
      <c r="P46" s="201"/>
      <c r="Q46" s="201"/>
    </row>
    <row r="47" spans="1:17" s="188" customFormat="1" ht="18.75">
      <c r="A47" s="208"/>
      <c r="B47" s="197"/>
      <c r="C47" s="64"/>
      <c r="D47" s="198"/>
      <c r="E47" s="198"/>
      <c r="F47" s="198"/>
      <c r="G47" s="198"/>
      <c r="H47" s="199"/>
      <c r="I47" s="198"/>
      <c r="J47" s="198"/>
      <c r="K47" s="198"/>
      <c r="L47" s="200"/>
      <c r="M47" s="200"/>
      <c r="N47" s="198"/>
      <c r="O47" s="201"/>
      <c r="P47" s="201"/>
      <c r="Q47" s="201"/>
    </row>
    <row r="48" spans="1:17" s="188" customFormat="1" ht="18.75">
      <c r="A48" s="208"/>
      <c r="B48" s="197"/>
      <c r="C48" s="64"/>
      <c r="D48" s="198"/>
      <c r="E48" s="198"/>
      <c r="F48" s="198"/>
      <c r="G48" s="198"/>
      <c r="H48" s="199"/>
      <c r="I48" s="198"/>
      <c r="J48" s="198"/>
      <c r="K48" s="198"/>
      <c r="L48" s="200"/>
      <c r="M48" s="200"/>
      <c r="N48" s="198"/>
      <c r="O48" s="201"/>
      <c r="P48" s="201"/>
      <c r="Q48" s="201"/>
    </row>
    <row r="49" spans="1:17" s="188" customFormat="1" ht="18.75">
      <c r="A49" s="208"/>
      <c r="B49" s="197"/>
      <c r="C49" s="64"/>
      <c r="D49" s="198"/>
      <c r="E49" s="198"/>
      <c r="F49" s="198"/>
      <c r="G49" s="198"/>
      <c r="H49" s="199"/>
      <c r="I49" s="198"/>
      <c r="J49" s="198"/>
      <c r="K49" s="198"/>
      <c r="L49" s="200"/>
      <c r="M49" s="200"/>
      <c r="N49" s="198"/>
      <c r="O49" s="201"/>
      <c r="P49" s="201"/>
      <c r="Q49" s="201"/>
    </row>
    <row r="50" spans="1:17" s="188" customFormat="1" ht="18.75">
      <c r="A50" s="208"/>
      <c r="B50" s="197"/>
      <c r="C50" s="64"/>
      <c r="D50" s="198"/>
      <c r="E50" s="198"/>
      <c r="F50" s="198"/>
      <c r="G50" s="198"/>
      <c r="H50" s="199"/>
      <c r="I50" s="198"/>
      <c r="J50" s="198"/>
      <c r="K50" s="198"/>
      <c r="L50" s="200"/>
      <c r="M50" s="200"/>
      <c r="N50" s="198"/>
      <c r="O50" s="201"/>
      <c r="P50" s="201"/>
      <c r="Q50" s="201"/>
    </row>
    <row r="51" spans="1:17" s="188" customFormat="1" ht="18.75">
      <c r="A51" s="208"/>
      <c r="B51" s="197"/>
      <c r="C51" s="64"/>
      <c r="D51" s="198"/>
      <c r="E51" s="198"/>
      <c r="F51" s="198"/>
      <c r="G51" s="198"/>
      <c r="H51" s="199"/>
      <c r="I51" s="198"/>
      <c r="J51" s="198"/>
      <c r="K51" s="198"/>
      <c r="L51" s="200"/>
      <c r="M51" s="200"/>
      <c r="N51" s="198"/>
      <c r="O51" s="201"/>
      <c r="P51" s="201"/>
      <c r="Q51" s="201"/>
    </row>
    <row r="52" spans="1:17" s="188" customFormat="1" ht="18.75">
      <c r="A52" s="208"/>
      <c r="B52" s="197"/>
      <c r="C52" s="64"/>
      <c r="D52" s="198"/>
      <c r="E52" s="198"/>
      <c r="F52" s="198"/>
      <c r="G52" s="198"/>
      <c r="H52" s="199"/>
      <c r="I52" s="198"/>
      <c r="J52" s="198"/>
      <c r="K52" s="198"/>
      <c r="L52" s="200"/>
      <c r="M52" s="200"/>
      <c r="N52" s="198"/>
      <c r="O52" s="201"/>
      <c r="P52" s="201"/>
      <c r="Q52" s="201"/>
    </row>
    <row r="53" spans="1:17" s="188" customFormat="1" ht="18.75">
      <c r="A53" s="208"/>
      <c r="B53" s="197"/>
      <c r="C53" s="64"/>
      <c r="D53" s="198"/>
      <c r="E53" s="198"/>
      <c r="F53" s="198"/>
      <c r="G53" s="198"/>
      <c r="H53" s="199"/>
      <c r="I53" s="198"/>
      <c r="J53" s="198"/>
      <c r="K53" s="198"/>
      <c r="L53" s="200"/>
      <c r="M53" s="200"/>
      <c r="N53" s="198"/>
      <c r="O53" s="201"/>
      <c r="P53" s="201"/>
      <c r="Q53" s="201"/>
    </row>
    <row r="54" spans="1:17" s="188" customFormat="1" ht="18.75">
      <c r="A54" s="208"/>
      <c r="B54" s="197"/>
      <c r="C54" s="64"/>
      <c r="D54" s="198"/>
      <c r="E54" s="198"/>
      <c r="F54" s="198"/>
      <c r="G54" s="198"/>
      <c r="H54" s="199"/>
      <c r="I54" s="198"/>
      <c r="J54" s="198"/>
      <c r="K54" s="198"/>
      <c r="L54" s="200"/>
      <c r="M54" s="200"/>
      <c r="N54" s="198"/>
      <c r="O54" s="201"/>
      <c r="P54" s="201"/>
      <c r="Q54" s="201"/>
    </row>
    <row r="55" spans="1:17" s="188" customFormat="1" ht="18.75">
      <c r="A55" s="208"/>
      <c r="B55" s="197"/>
      <c r="C55" s="64"/>
      <c r="D55" s="198"/>
      <c r="E55" s="198"/>
      <c r="F55" s="198"/>
      <c r="G55" s="198"/>
      <c r="H55" s="199"/>
      <c r="I55" s="198"/>
      <c r="J55" s="198"/>
      <c r="K55" s="198"/>
      <c r="L55" s="200"/>
      <c r="M55" s="200"/>
      <c r="N55" s="198"/>
      <c r="O55" s="201"/>
      <c r="P55" s="201"/>
      <c r="Q55" s="201"/>
    </row>
    <row r="56" spans="1:17" s="188" customFormat="1" ht="18.75">
      <c r="A56" s="208"/>
      <c r="B56" s="197"/>
      <c r="C56" s="64"/>
      <c r="D56" s="198"/>
      <c r="E56" s="198"/>
      <c r="F56" s="198"/>
      <c r="G56" s="198"/>
      <c r="H56" s="199"/>
      <c r="I56" s="198"/>
      <c r="J56" s="198"/>
      <c r="K56" s="198"/>
      <c r="L56" s="200"/>
      <c r="M56" s="200"/>
      <c r="N56" s="198"/>
      <c r="O56" s="201"/>
      <c r="P56" s="201"/>
      <c r="Q56" s="201"/>
    </row>
    <row r="57" spans="1:17" s="188" customFormat="1" ht="18.75">
      <c r="A57" s="208"/>
      <c r="B57" s="197"/>
      <c r="C57" s="64"/>
      <c r="D57" s="198"/>
      <c r="E57" s="198"/>
      <c r="F57" s="198"/>
      <c r="G57" s="198"/>
      <c r="H57" s="199"/>
      <c r="I57" s="198"/>
      <c r="J57" s="198"/>
      <c r="K57" s="198"/>
      <c r="L57" s="200"/>
      <c r="M57" s="200"/>
      <c r="N57" s="198"/>
      <c r="O57" s="201"/>
      <c r="P57" s="201"/>
      <c r="Q57" s="201"/>
    </row>
    <row r="58" spans="1:17" s="188" customFormat="1" ht="18.75">
      <c r="A58" s="208"/>
      <c r="B58" s="197"/>
      <c r="C58" s="64"/>
      <c r="D58" s="198"/>
      <c r="E58" s="198"/>
      <c r="F58" s="198"/>
      <c r="G58" s="198"/>
      <c r="H58" s="199"/>
      <c r="I58" s="198"/>
      <c r="J58" s="198"/>
      <c r="K58" s="198"/>
      <c r="L58" s="200"/>
      <c r="M58" s="200"/>
      <c r="N58" s="198"/>
      <c r="O58" s="201"/>
      <c r="P58" s="201"/>
      <c r="Q58" s="201"/>
    </row>
    <row r="59" spans="1:17" s="188" customFormat="1" ht="18.75">
      <c r="A59" s="208"/>
      <c r="B59" s="197"/>
      <c r="C59" s="64"/>
      <c r="D59" s="198"/>
      <c r="E59" s="198"/>
      <c r="F59" s="198"/>
      <c r="G59" s="198"/>
      <c r="H59" s="199"/>
      <c r="I59" s="198"/>
      <c r="J59" s="198"/>
      <c r="K59" s="198"/>
      <c r="L59" s="200"/>
      <c r="M59" s="200"/>
      <c r="N59" s="198"/>
      <c r="O59" s="201"/>
      <c r="P59" s="201"/>
      <c r="Q59" s="201"/>
    </row>
    <row r="60" spans="1:17" s="188" customFormat="1" ht="18.75">
      <c r="A60" s="208"/>
      <c r="B60" s="197"/>
      <c r="C60" s="64"/>
      <c r="D60" s="198"/>
      <c r="E60" s="198"/>
      <c r="F60" s="198"/>
      <c r="G60" s="198"/>
      <c r="H60" s="199"/>
      <c r="I60" s="198"/>
      <c r="J60" s="198"/>
      <c r="K60" s="198"/>
      <c r="L60" s="200"/>
      <c r="M60" s="200"/>
      <c r="N60" s="198"/>
      <c r="O60" s="201"/>
      <c r="P60" s="201"/>
      <c r="Q60" s="201"/>
    </row>
    <row r="61" spans="1:17" s="188" customFormat="1" ht="18.75">
      <c r="A61" s="208"/>
      <c r="B61" s="197"/>
      <c r="C61" s="64"/>
      <c r="D61" s="198"/>
      <c r="E61" s="198"/>
      <c r="F61" s="198"/>
      <c r="G61" s="198"/>
      <c r="H61" s="199"/>
      <c r="I61" s="198"/>
      <c r="J61" s="198"/>
      <c r="K61" s="198"/>
      <c r="L61" s="200"/>
      <c r="M61" s="200"/>
      <c r="N61" s="198"/>
      <c r="O61" s="201"/>
      <c r="P61" s="201"/>
      <c r="Q61" s="201"/>
    </row>
    <row r="62" spans="1:17" s="188" customFormat="1" ht="18.75">
      <c r="A62" s="208"/>
      <c r="B62" s="197"/>
      <c r="C62" s="64"/>
      <c r="D62" s="198"/>
      <c r="E62" s="198"/>
      <c r="F62" s="198"/>
      <c r="G62" s="198"/>
      <c r="H62" s="199"/>
      <c r="I62" s="198"/>
      <c r="J62" s="198"/>
      <c r="K62" s="198"/>
      <c r="L62" s="200"/>
      <c r="M62" s="200"/>
      <c r="N62" s="198"/>
      <c r="O62" s="201"/>
      <c r="P62" s="201"/>
      <c r="Q62" s="201"/>
    </row>
    <row r="63" spans="1:17" s="188" customFormat="1" ht="18.75">
      <c r="A63" s="208"/>
      <c r="B63" s="197"/>
      <c r="C63" s="64"/>
      <c r="D63" s="198"/>
      <c r="E63" s="198"/>
      <c r="F63" s="198"/>
      <c r="G63" s="198"/>
      <c r="H63" s="199"/>
      <c r="I63" s="198"/>
      <c r="J63" s="198"/>
      <c r="K63" s="198"/>
      <c r="L63" s="200"/>
      <c r="M63" s="200"/>
      <c r="N63" s="198"/>
      <c r="O63" s="201"/>
      <c r="P63" s="201"/>
      <c r="Q63" s="201"/>
    </row>
    <row r="64" spans="1:17" s="188" customFormat="1" ht="18.75">
      <c r="A64" s="208"/>
      <c r="B64" s="197"/>
      <c r="C64" s="64"/>
      <c r="D64" s="198"/>
      <c r="E64" s="198"/>
      <c r="F64" s="198"/>
      <c r="G64" s="198"/>
      <c r="H64" s="199"/>
      <c r="I64" s="198"/>
      <c r="J64" s="198"/>
      <c r="K64" s="198"/>
      <c r="L64" s="200"/>
      <c r="M64" s="200"/>
      <c r="N64" s="198"/>
      <c r="O64" s="201"/>
      <c r="P64" s="201"/>
      <c r="Q64" s="201"/>
    </row>
    <row r="65" spans="1:17" s="188" customFormat="1" ht="18.75">
      <c r="A65" s="208"/>
      <c r="B65" s="197"/>
      <c r="C65" s="64"/>
      <c r="D65" s="198"/>
      <c r="E65" s="198"/>
      <c r="F65" s="198"/>
      <c r="G65" s="198"/>
      <c r="H65" s="199"/>
      <c r="I65" s="198"/>
      <c r="J65" s="198"/>
      <c r="K65" s="198"/>
      <c r="L65" s="200"/>
      <c r="M65" s="200"/>
      <c r="N65" s="198"/>
      <c r="O65" s="201"/>
      <c r="P65" s="201"/>
      <c r="Q65" s="201"/>
    </row>
    <row r="66" spans="1:17" s="188" customFormat="1" ht="18.75">
      <c r="A66" s="208"/>
      <c r="B66" s="197"/>
      <c r="C66" s="64"/>
      <c r="D66" s="198"/>
      <c r="E66" s="198"/>
      <c r="F66" s="198"/>
      <c r="G66" s="198"/>
      <c r="H66" s="199"/>
      <c r="I66" s="198"/>
      <c r="J66" s="198"/>
      <c r="K66" s="198"/>
      <c r="L66" s="200"/>
      <c r="M66" s="200"/>
      <c r="N66" s="198"/>
      <c r="O66" s="201"/>
      <c r="P66" s="201"/>
      <c r="Q66" s="201"/>
    </row>
    <row r="67" spans="1:17" s="188" customFormat="1" ht="18.75">
      <c r="A67" s="208"/>
      <c r="B67" s="197"/>
      <c r="C67" s="64"/>
      <c r="D67" s="198"/>
      <c r="E67" s="198"/>
      <c r="F67" s="198"/>
      <c r="G67" s="198"/>
      <c r="H67" s="199"/>
      <c r="I67" s="198"/>
      <c r="J67" s="198"/>
      <c r="K67" s="198"/>
      <c r="L67" s="200"/>
      <c r="M67" s="200"/>
      <c r="N67" s="198"/>
      <c r="O67" s="201"/>
      <c r="P67" s="201"/>
      <c r="Q67" s="201"/>
    </row>
    <row r="68" spans="1:17" s="188" customFormat="1" ht="18.75">
      <c r="A68" s="208"/>
      <c r="B68" s="197"/>
      <c r="C68" s="64"/>
      <c r="D68" s="198"/>
      <c r="E68" s="198"/>
      <c r="F68" s="198"/>
      <c r="G68" s="198"/>
      <c r="H68" s="199"/>
      <c r="I68" s="198"/>
      <c r="J68" s="198"/>
      <c r="K68" s="198"/>
      <c r="L68" s="200"/>
      <c r="M68" s="200"/>
      <c r="N68" s="198"/>
      <c r="O68" s="201"/>
      <c r="P68" s="201"/>
      <c r="Q68" s="201"/>
    </row>
    <row r="69" spans="1:17" s="188" customFormat="1" ht="18.75">
      <c r="A69" s="208"/>
      <c r="B69" s="197"/>
      <c r="C69" s="64"/>
      <c r="D69" s="198"/>
      <c r="E69" s="198"/>
      <c r="F69" s="198"/>
      <c r="G69" s="198"/>
      <c r="H69" s="199"/>
      <c r="I69" s="198"/>
      <c r="J69" s="198"/>
      <c r="K69" s="198"/>
      <c r="L69" s="200"/>
      <c r="M69" s="200"/>
      <c r="N69" s="198"/>
      <c r="O69" s="201"/>
      <c r="P69" s="201"/>
      <c r="Q69" s="201"/>
    </row>
    <row r="70" spans="1:17" s="188" customFormat="1" ht="18.75">
      <c r="A70" s="208"/>
      <c r="B70" s="197"/>
      <c r="C70" s="64"/>
      <c r="D70" s="198"/>
      <c r="E70" s="198"/>
      <c r="F70" s="198"/>
      <c r="G70" s="198"/>
      <c r="H70" s="199"/>
      <c r="I70" s="198"/>
      <c r="J70" s="198"/>
      <c r="K70" s="198"/>
      <c r="L70" s="200"/>
      <c r="M70" s="200"/>
      <c r="N70" s="198"/>
      <c r="O70" s="201"/>
      <c r="P70" s="201"/>
      <c r="Q70" s="201"/>
    </row>
    <row r="71" spans="1:17" s="188" customFormat="1" ht="18.75">
      <c r="A71" s="208"/>
      <c r="B71" s="197"/>
      <c r="C71" s="64"/>
      <c r="D71" s="198"/>
      <c r="E71" s="198"/>
      <c r="F71" s="198"/>
      <c r="G71" s="198"/>
      <c r="H71" s="199"/>
      <c r="I71" s="198"/>
      <c r="J71" s="198"/>
      <c r="K71" s="198"/>
      <c r="L71" s="200"/>
      <c r="M71" s="200"/>
      <c r="N71" s="198"/>
      <c r="O71" s="201"/>
      <c r="P71" s="201"/>
      <c r="Q71" s="201"/>
    </row>
    <row r="72" spans="1:17" s="188" customFormat="1" ht="18.75">
      <c r="A72" s="208"/>
      <c r="B72" s="197"/>
      <c r="C72" s="64"/>
      <c r="D72" s="198"/>
      <c r="E72" s="198"/>
      <c r="F72" s="198"/>
      <c r="G72" s="198"/>
      <c r="H72" s="199"/>
      <c r="I72" s="198"/>
      <c r="J72" s="198"/>
      <c r="K72" s="198"/>
      <c r="L72" s="200"/>
      <c r="M72" s="200"/>
      <c r="N72" s="198"/>
      <c r="O72" s="201"/>
      <c r="P72" s="201"/>
      <c r="Q72" s="201"/>
    </row>
    <row r="73" spans="1:17" s="188" customFormat="1" ht="18.75">
      <c r="A73" s="208"/>
      <c r="B73" s="197"/>
      <c r="C73" s="64"/>
      <c r="D73" s="198"/>
      <c r="E73" s="198"/>
      <c r="F73" s="198"/>
      <c r="G73" s="198"/>
      <c r="H73" s="199"/>
      <c r="I73" s="198"/>
      <c r="J73" s="198"/>
      <c r="K73" s="198"/>
      <c r="L73" s="200"/>
      <c r="M73" s="200"/>
      <c r="N73" s="198"/>
      <c r="O73" s="201"/>
      <c r="P73" s="201"/>
      <c r="Q73" s="201"/>
    </row>
    <row r="74" spans="1:17" s="188" customFormat="1" ht="18.75">
      <c r="A74" s="208"/>
      <c r="B74" s="197"/>
      <c r="C74" s="64"/>
      <c r="D74" s="198"/>
      <c r="E74" s="198"/>
      <c r="F74" s="198"/>
      <c r="G74" s="198"/>
      <c r="H74" s="199"/>
      <c r="I74" s="198"/>
      <c r="J74" s="198"/>
      <c r="K74" s="198"/>
      <c r="L74" s="200"/>
      <c r="M74" s="200"/>
      <c r="N74" s="198"/>
      <c r="O74" s="201"/>
      <c r="P74" s="201"/>
      <c r="Q74" s="201"/>
    </row>
    <row r="75" spans="1:17" s="188" customFormat="1" ht="18.75">
      <c r="A75" s="208"/>
      <c r="B75" s="197"/>
      <c r="C75" s="64"/>
      <c r="D75" s="198"/>
      <c r="E75" s="198"/>
      <c r="F75" s="198"/>
      <c r="G75" s="198"/>
      <c r="H75" s="199"/>
      <c r="I75" s="198"/>
      <c r="J75" s="198"/>
      <c r="K75" s="198"/>
      <c r="L75" s="200"/>
      <c r="M75" s="200"/>
      <c r="N75" s="198"/>
      <c r="O75" s="201"/>
      <c r="P75" s="201"/>
      <c r="Q75" s="201"/>
    </row>
    <row r="76" spans="1:17" s="188" customFormat="1" ht="18.75">
      <c r="A76" s="208"/>
      <c r="B76" s="197"/>
      <c r="C76" s="64"/>
      <c r="D76" s="198"/>
      <c r="E76" s="198"/>
      <c r="F76" s="198"/>
      <c r="G76" s="198"/>
      <c r="H76" s="199"/>
      <c r="I76" s="198"/>
      <c r="J76" s="198"/>
      <c r="K76" s="198"/>
      <c r="L76" s="200"/>
      <c r="M76" s="200"/>
      <c r="N76" s="198"/>
      <c r="O76" s="201"/>
      <c r="P76" s="201"/>
      <c r="Q76" s="201"/>
    </row>
    <row r="77" spans="1:17" s="188" customFormat="1" ht="18.75">
      <c r="A77" s="208"/>
      <c r="B77" s="197"/>
      <c r="C77" s="64"/>
      <c r="D77" s="198"/>
      <c r="E77" s="198"/>
      <c r="F77" s="198"/>
      <c r="G77" s="198"/>
      <c r="H77" s="199"/>
      <c r="I77" s="198"/>
      <c r="J77" s="198"/>
      <c r="K77" s="198"/>
      <c r="L77" s="200"/>
      <c r="M77" s="200"/>
      <c r="N77" s="198"/>
      <c r="O77" s="201"/>
      <c r="P77" s="201"/>
      <c r="Q77" s="201"/>
    </row>
    <row r="78" spans="1:17" s="188" customFormat="1" ht="18.75">
      <c r="A78" s="208"/>
      <c r="B78" s="197"/>
      <c r="C78" s="64"/>
      <c r="D78" s="198"/>
      <c r="E78" s="198"/>
      <c r="F78" s="198"/>
      <c r="G78" s="198"/>
      <c r="H78" s="199"/>
      <c r="I78" s="198"/>
      <c r="J78" s="198"/>
      <c r="K78" s="198"/>
      <c r="L78" s="200"/>
      <c r="M78" s="200"/>
      <c r="N78" s="198"/>
      <c r="O78" s="201"/>
      <c r="P78" s="201"/>
      <c r="Q78" s="201"/>
    </row>
    <row r="79" spans="1:17" s="188" customFormat="1" ht="18.75">
      <c r="A79" s="208"/>
      <c r="B79" s="197"/>
      <c r="C79" s="64"/>
      <c r="D79" s="198"/>
      <c r="E79" s="198"/>
      <c r="F79" s="198"/>
      <c r="G79" s="198"/>
      <c r="H79" s="199"/>
      <c r="I79" s="198"/>
      <c r="J79" s="198"/>
      <c r="K79" s="198"/>
      <c r="L79" s="200"/>
      <c r="M79" s="200"/>
      <c r="N79" s="198"/>
      <c r="O79" s="201"/>
      <c r="P79" s="201"/>
      <c r="Q79" s="201"/>
    </row>
    <row r="80" spans="1:17" s="188" customFormat="1" ht="18.75">
      <c r="A80" s="208"/>
      <c r="B80" s="197"/>
      <c r="C80" s="64"/>
      <c r="D80" s="198"/>
      <c r="E80" s="198"/>
      <c r="F80" s="198"/>
      <c r="G80" s="198"/>
      <c r="H80" s="199"/>
      <c r="I80" s="198"/>
      <c r="J80" s="198"/>
      <c r="K80" s="198"/>
      <c r="L80" s="200"/>
      <c r="M80" s="200"/>
      <c r="N80" s="198"/>
      <c r="O80" s="201"/>
      <c r="P80" s="201"/>
      <c r="Q80" s="201"/>
    </row>
    <row r="81" spans="1:17" s="188" customFormat="1" ht="18.75">
      <c r="A81" s="208"/>
      <c r="B81" s="197"/>
      <c r="C81" s="64"/>
      <c r="D81" s="198"/>
      <c r="E81" s="198"/>
      <c r="F81" s="198"/>
      <c r="G81" s="198"/>
      <c r="H81" s="199"/>
      <c r="I81" s="198"/>
      <c r="J81" s="198"/>
      <c r="K81" s="198"/>
      <c r="L81" s="200"/>
      <c r="M81" s="200"/>
      <c r="N81" s="198"/>
      <c r="O81" s="201"/>
      <c r="P81" s="201"/>
      <c r="Q81" s="201"/>
    </row>
    <row r="82" spans="1:17" s="188" customFormat="1" ht="18.75">
      <c r="A82" s="208"/>
      <c r="B82" s="197"/>
      <c r="C82" s="64"/>
      <c r="D82" s="198"/>
      <c r="E82" s="198"/>
      <c r="F82" s="198"/>
      <c r="G82" s="198"/>
      <c r="H82" s="199"/>
      <c r="I82" s="198"/>
      <c r="J82" s="198"/>
      <c r="K82" s="198"/>
      <c r="L82" s="200"/>
      <c r="M82" s="200"/>
      <c r="N82" s="198"/>
      <c r="O82" s="201"/>
      <c r="P82" s="201"/>
      <c r="Q82" s="201"/>
    </row>
    <row r="83" spans="1:17" s="188" customFormat="1" ht="18.75">
      <c r="A83" s="208"/>
      <c r="B83" s="197"/>
      <c r="C83" s="64"/>
      <c r="D83" s="198"/>
      <c r="E83" s="198"/>
      <c r="F83" s="198"/>
      <c r="G83" s="198"/>
      <c r="H83" s="199"/>
      <c r="I83" s="198"/>
      <c r="J83" s="198"/>
      <c r="K83" s="198"/>
      <c r="L83" s="200"/>
      <c r="M83" s="200"/>
      <c r="N83" s="198"/>
      <c r="O83" s="201"/>
      <c r="P83" s="201"/>
      <c r="Q83" s="201"/>
    </row>
    <row r="84" spans="1:17" s="188" customFormat="1" ht="18.75">
      <c r="A84" s="208"/>
      <c r="B84" s="197"/>
      <c r="C84" s="64"/>
      <c r="D84" s="198"/>
      <c r="E84" s="198"/>
      <c r="F84" s="198"/>
      <c r="G84" s="198"/>
      <c r="H84" s="199"/>
      <c r="I84" s="198"/>
      <c r="J84" s="198"/>
      <c r="K84" s="198"/>
      <c r="L84" s="200"/>
      <c r="M84" s="200"/>
      <c r="N84" s="198"/>
      <c r="O84" s="201"/>
      <c r="P84" s="201"/>
      <c r="Q84" s="201"/>
    </row>
    <row r="85" spans="1:17" s="188" customFormat="1" ht="18.75">
      <c r="A85" s="208"/>
      <c r="B85" s="197"/>
      <c r="C85" s="64"/>
      <c r="D85" s="198"/>
      <c r="E85" s="198"/>
      <c r="F85" s="198"/>
      <c r="G85" s="198"/>
      <c r="H85" s="199"/>
      <c r="I85" s="198"/>
      <c r="J85" s="198"/>
      <c r="K85" s="198"/>
      <c r="L85" s="200"/>
      <c r="M85" s="200"/>
      <c r="N85" s="198"/>
      <c r="O85" s="201"/>
      <c r="P85" s="201"/>
      <c r="Q85" s="201"/>
    </row>
    <row r="86" spans="1:17" s="188" customFormat="1" ht="18.75">
      <c r="A86" s="208"/>
      <c r="B86" s="197"/>
      <c r="C86" s="64"/>
      <c r="D86" s="198"/>
      <c r="E86" s="198"/>
      <c r="F86" s="198"/>
      <c r="G86" s="198"/>
      <c r="H86" s="199"/>
      <c r="I86" s="198"/>
      <c r="J86" s="198"/>
      <c r="K86" s="198"/>
      <c r="L86" s="200"/>
      <c r="M86" s="200"/>
      <c r="N86" s="198"/>
      <c r="O86" s="201"/>
      <c r="P86" s="201"/>
      <c r="Q86" s="201"/>
    </row>
    <row r="87" spans="1:17" s="188" customFormat="1" ht="18.75">
      <c r="A87" s="208"/>
      <c r="B87" s="197"/>
      <c r="C87" s="64"/>
      <c r="D87" s="198"/>
      <c r="E87" s="198"/>
      <c r="F87" s="198"/>
      <c r="G87" s="198"/>
      <c r="H87" s="199"/>
      <c r="I87" s="198"/>
      <c r="J87" s="198"/>
      <c r="K87" s="198"/>
      <c r="L87" s="200"/>
      <c r="M87" s="200"/>
      <c r="N87" s="198"/>
      <c r="O87" s="201"/>
      <c r="P87" s="201"/>
      <c r="Q87" s="201"/>
    </row>
    <row r="88" spans="1:17" s="188" customFormat="1" ht="18.75">
      <c r="A88" s="208"/>
      <c r="B88" s="197"/>
      <c r="C88" s="64"/>
      <c r="D88" s="198"/>
      <c r="E88" s="198"/>
      <c r="F88" s="198"/>
      <c r="G88" s="198"/>
      <c r="H88" s="199"/>
      <c r="I88" s="198"/>
      <c r="J88" s="198"/>
      <c r="K88" s="198"/>
      <c r="L88" s="200"/>
      <c r="M88" s="200"/>
      <c r="N88" s="198"/>
      <c r="O88" s="201"/>
      <c r="P88" s="201"/>
      <c r="Q88" s="201"/>
    </row>
    <row r="89" spans="1:17" s="188" customFormat="1" ht="18.75">
      <c r="A89" s="208"/>
      <c r="B89" s="197"/>
      <c r="C89" s="64"/>
      <c r="D89" s="198"/>
      <c r="E89" s="198"/>
      <c r="F89" s="198"/>
      <c r="G89" s="198"/>
      <c r="H89" s="199"/>
      <c r="I89" s="198"/>
      <c r="J89" s="198"/>
      <c r="K89" s="198"/>
      <c r="L89" s="200"/>
      <c r="M89" s="200"/>
      <c r="N89" s="198"/>
      <c r="O89" s="201"/>
      <c r="P89" s="201"/>
      <c r="Q89" s="201"/>
    </row>
    <row r="90" spans="1:146" s="210" customFormat="1" ht="18.75">
      <c r="A90" s="208"/>
      <c r="C90" s="63"/>
      <c r="D90" s="211"/>
      <c r="E90" s="211"/>
      <c r="F90" s="211"/>
      <c r="G90" s="211"/>
      <c r="H90" s="212"/>
      <c r="I90" s="211"/>
      <c r="J90" s="211"/>
      <c r="K90" s="211"/>
      <c r="L90" s="213"/>
      <c r="M90" s="213"/>
      <c r="N90" s="211"/>
      <c r="O90" s="19"/>
      <c r="P90" s="19"/>
      <c r="Q90" s="19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/>
      <c r="EG90" s="189"/>
      <c r="EH90" s="189"/>
      <c r="EI90" s="189"/>
      <c r="EJ90" s="189"/>
      <c r="EK90" s="189"/>
      <c r="EL90" s="189"/>
      <c r="EM90" s="189"/>
      <c r="EN90" s="189"/>
      <c r="EO90" s="189"/>
      <c r="EP90" s="189"/>
    </row>
  </sheetData>
  <sheetProtection/>
  <autoFilter ref="A9:Q26"/>
  <mergeCells count="21">
    <mergeCell ref="M13:M14"/>
    <mergeCell ref="P13:P14"/>
    <mergeCell ref="M22:M23"/>
    <mergeCell ref="P22:P23"/>
    <mergeCell ref="P6:P8"/>
    <mergeCell ref="I7:J7"/>
    <mergeCell ref="L6:L8"/>
    <mergeCell ref="N6:O7"/>
    <mergeCell ref="M6:M8"/>
    <mergeCell ref="Q6:Q8"/>
    <mergeCell ref="B1:Q1"/>
    <mergeCell ref="B2:Q2"/>
    <mergeCell ref="B3:Q3"/>
    <mergeCell ref="B4:Q4"/>
    <mergeCell ref="B5:Q5"/>
    <mergeCell ref="A6:A8"/>
    <mergeCell ref="B6:B8"/>
    <mergeCell ref="C6:C8"/>
    <mergeCell ref="D6:H7"/>
    <mergeCell ref="I6:K6"/>
    <mergeCell ref="B10:H10"/>
  </mergeCells>
  <printOptions/>
  <pageMargins left="0.35433070866141736" right="0.35433070866141736" top="0.8267716535433072" bottom="0.7874015748031497" header="0" footer="0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N90"/>
  <sheetViews>
    <sheetView zoomScale="70" zoomScaleNormal="70" zoomScalePageLayoutView="0" workbookViewId="0" topLeftCell="B6">
      <pane ySplit="5" topLeftCell="A17" activePane="bottomLeft" state="frozen"/>
      <selection pane="topLeft" activeCell="B6" sqref="B6"/>
      <selection pane="bottomLeft" activeCell="K12" sqref="K12"/>
    </sheetView>
  </sheetViews>
  <sheetFormatPr defaultColWidth="9.140625" defaultRowHeight="15"/>
  <cols>
    <col min="1" max="1" width="5.00390625" style="88" hidden="1" customWidth="1"/>
    <col min="2" max="2" width="8.28125" style="210" customWidth="1"/>
    <col min="3" max="3" width="32.00390625" style="63" customWidth="1"/>
    <col min="4" max="4" width="8.57421875" style="211" customWidth="1"/>
    <col min="5" max="5" width="8.421875" style="211" customWidth="1"/>
    <col min="6" max="6" width="12.00390625" style="211" customWidth="1"/>
    <col min="7" max="7" width="9.00390625" style="211" customWidth="1"/>
    <col min="8" max="8" width="15.28125" style="212" customWidth="1"/>
    <col min="9" max="9" width="17.57421875" style="211" customWidth="1"/>
    <col min="10" max="10" width="16.7109375" style="211" customWidth="1"/>
    <col min="11" max="11" width="17.7109375" style="211" customWidth="1"/>
    <col min="12" max="12" width="16.28125" style="213" customWidth="1"/>
    <col min="13" max="13" width="14.7109375" style="213" customWidth="1"/>
    <col min="14" max="14" width="12.140625" style="211" customWidth="1"/>
    <col min="15" max="15" width="17.57421875" style="19" customWidth="1"/>
    <col min="16" max="46" width="9.140625" style="188" customWidth="1"/>
    <col min="47" max="16384" width="9.140625" style="189" customWidth="1"/>
  </cols>
  <sheetData>
    <row r="1" spans="2:18" ht="22.5" customHeight="1">
      <c r="B1" s="337" t="s">
        <v>286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  <c r="O1" s="337"/>
      <c r="P1" s="337"/>
      <c r="Q1" s="337"/>
      <c r="R1" s="337"/>
    </row>
    <row r="2" spans="2:18" ht="38.25" customHeight="1">
      <c r="B2" s="339" t="s">
        <v>38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1"/>
      <c r="O2" s="340"/>
      <c r="P2" s="340"/>
      <c r="Q2" s="340"/>
      <c r="R2" s="340"/>
    </row>
    <row r="3" spans="2:18" ht="28.5" customHeight="1">
      <c r="B3" s="342" t="s">
        <v>21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3"/>
      <c r="O3" s="342"/>
      <c r="P3" s="342"/>
      <c r="Q3" s="342"/>
      <c r="R3" s="342"/>
    </row>
    <row r="4" spans="2:18" ht="28.5" customHeight="1">
      <c r="B4" s="344" t="s">
        <v>287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2:15" ht="21" customHeight="1">
      <c r="B5" s="287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</row>
    <row r="6" spans="1:46" s="191" customFormat="1" ht="31.5" customHeight="1">
      <c r="A6" s="307" t="s">
        <v>7</v>
      </c>
      <c r="B6" s="310" t="s">
        <v>7</v>
      </c>
      <c r="C6" s="296" t="s">
        <v>12</v>
      </c>
      <c r="D6" s="304" t="s">
        <v>17</v>
      </c>
      <c r="E6" s="305"/>
      <c r="F6" s="305"/>
      <c r="G6" s="305"/>
      <c r="H6" s="306"/>
      <c r="I6" s="304" t="s">
        <v>237</v>
      </c>
      <c r="J6" s="305"/>
      <c r="K6" s="306"/>
      <c r="L6" s="296" t="s">
        <v>238</v>
      </c>
      <c r="M6" s="296" t="s">
        <v>239</v>
      </c>
      <c r="N6" s="345" t="s">
        <v>97</v>
      </c>
      <c r="O6" s="290" t="s">
        <v>0</v>
      </c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</row>
    <row r="7" spans="1:46" s="191" customFormat="1" ht="33.75" customHeight="1">
      <c r="A7" s="308"/>
      <c r="B7" s="311"/>
      <c r="C7" s="297"/>
      <c r="D7" s="313"/>
      <c r="E7" s="314"/>
      <c r="F7" s="314"/>
      <c r="G7" s="314"/>
      <c r="H7" s="315"/>
      <c r="I7" s="323" t="s">
        <v>15</v>
      </c>
      <c r="J7" s="324"/>
      <c r="K7" s="222" t="s">
        <v>98</v>
      </c>
      <c r="L7" s="297"/>
      <c r="M7" s="297"/>
      <c r="N7" s="346"/>
      <c r="O7" s="291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</row>
    <row r="8" spans="1:46" s="191" customFormat="1" ht="136.5" customHeight="1">
      <c r="A8" s="309"/>
      <c r="B8" s="312"/>
      <c r="C8" s="298"/>
      <c r="D8" s="222" t="s">
        <v>13</v>
      </c>
      <c r="E8" s="222" t="s">
        <v>18</v>
      </c>
      <c r="F8" s="222" t="s">
        <v>240</v>
      </c>
      <c r="G8" s="222" t="s">
        <v>42</v>
      </c>
      <c r="H8" s="61" t="s">
        <v>30</v>
      </c>
      <c r="I8" s="222" t="s">
        <v>241</v>
      </c>
      <c r="J8" s="222" t="s">
        <v>242</v>
      </c>
      <c r="K8" s="222" t="s">
        <v>242</v>
      </c>
      <c r="L8" s="298"/>
      <c r="M8" s="298"/>
      <c r="N8" s="347"/>
      <c r="O8" s="292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</row>
    <row r="9" spans="1:46" s="193" customFormat="1" ht="32.25" customHeight="1">
      <c r="A9" s="57">
        <v>42388</v>
      </c>
      <c r="B9" s="1">
        <v>0</v>
      </c>
      <c r="C9" s="2">
        <v>1</v>
      </c>
      <c r="D9" s="1">
        <v>2</v>
      </c>
      <c r="E9" s="2">
        <v>3</v>
      </c>
      <c r="F9" s="1">
        <v>4</v>
      </c>
      <c r="G9" s="2">
        <v>5</v>
      </c>
      <c r="H9" s="1">
        <v>6</v>
      </c>
      <c r="I9" s="1">
        <v>7</v>
      </c>
      <c r="J9" s="1">
        <v>8</v>
      </c>
      <c r="K9" s="1">
        <v>9</v>
      </c>
      <c r="L9" s="1" t="s">
        <v>296</v>
      </c>
      <c r="M9" s="1">
        <v>11</v>
      </c>
      <c r="N9" s="1">
        <v>12</v>
      </c>
      <c r="O9" s="2">
        <v>13</v>
      </c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</row>
    <row r="10" spans="1:131" s="195" customFormat="1" ht="43.5" customHeight="1">
      <c r="A10" s="58"/>
      <c r="B10" s="331" t="s">
        <v>23</v>
      </c>
      <c r="C10" s="333"/>
      <c r="D10" s="89"/>
      <c r="E10" s="89"/>
      <c r="F10" s="89"/>
      <c r="G10" s="89"/>
      <c r="H10" s="89"/>
      <c r="I10" s="56">
        <f>SUM(I11:I26)</f>
        <v>175.5</v>
      </c>
      <c r="J10" s="56">
        <f>SUM(J11:J26)</f>
        <v>5492.1</v>
      </c>
      <c r="K10" s="56">
        <f>SUM(K11:K26)</f>
        <v>14.8</v>
      </c>
      <c r="L10" s="56">
        <f>SUM(L11:L26)</f>
        <v>5682.400000000001</v>
      </c>
      <c r="M10" s="56">
        <f>SUM(M11:M26)</f>
        <v>5682.400000000001</v>
      </c>
      <c r="N10" s="56"/>
      <c r="O10" s="89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</row>
    <row r="11" spans="2:15" s="75" customFormat="1" ht="68.25" customHeight="1">
      <c r="B11" s="84">
        <v>1</v>
      </c>
      <c r="C11" s="180" t="s">
        <v>151</v>
      </c>
      <c r="D11" s="84" t="s">
        <v>99</v>
      </c>
      <c r="E11" s="84" t="s">
        <v>100</v>
      </c>
      <c r="F11" s="86">
        <v>492.5</v>
      </c>
      <c r="G11" s="86" t="s">
        <v>29</v>
      </c>
      <c r="H11" s="87" t="s">
        <v>40</v>
      </c>
      <c r="I11" s="80"/>
      <c r="J11" s="80">
        <v>492.5</v>
      </c>
      <c r="K11" s="80"/>
      <c r="L11" s="62">
        <f>I11+J11+K11</f>
        <v>492.5</v>
      </c>
      <c r="M11" s="56">
        <f>L11</f>
        <v>492.5</v>
      </c>
      <c r="N11" s="81" t="s">
        <v>44</v>
      </c>
      <c r="O11" s="81"/>
    </row>
    <row r="12" spans="2:15" s="75" customFormat="1" ht="45.75" customHeight="1">
      <c r="B12" s="84">
        <v>2</v>
      </c>
      <c r="C12" s="180" t="s">
        <v>101</v>
      </c>
      <c r="D12" s="84" t="s">
        <v>102</v>
      </c>
      <c r="E12" s="84" t="s">
        <v>100</v>
      </c>
      <c r="F12" s="86">
        <v>312.3</v>
      </c>
      <c r="G12" s="86" t="s">
        <v>29</v>
      </c>
      <c r="H12" s="87" t="s">
        <v>40</v>
      </c>
      <c r="I12" s="80"/>
      <c r="J12" s="80">
        <v>224.5</v>
      </c>
      <c r="K12" s="80"/>
      <c r="L12" s="62">
        <f aca="true" t="shared" si="0" ref="L12:L26">I12+J12+K12</f>
        <v>224.5</v>
      </c>
      <c r="M12" s="56">
        <f>L12</f>
        <v>224.5</v>
      </c>
      <c r="N12" s="81" t="s">
        <v>44</v>
      </c>
      <c r="O12" s="81"/>
    </row>
    <row r="13" spans="2:15" s="75" customFormat="1" ht="45.75" customHeight="1">
      <c r="B13" s="84">
        <v>3</v>
      </c>
      <c r="C13" s="85" t="s">
        <v>104</v>
      </c>
      <c r="D13" s="84" t="s">
        <v>105</v>
      </c>
      <c r="E13" s="84" t="s">
        <v>100</v>
      </c>
      <c r="F13" s="86">
        <v>696.1</v>
      </c>
      <c r="G13" s="86" t="s">
        <v>50</v>
      </c>
      <c r="H13" s="87" t="s">
        <v>40</v>
      </c>
      <c r="I13" s="80"/>
      <c r="J13" s="80">
        <v>594.4</v>
      </c>
      <c r="K13" s="80"/>
      <c r="L13" s="62">
        <f t="shared" si="0"/>
        <v>594.4</v>
      </c>
      <c r="M13" s="335">
        <f>L13+L14</f>
        <v>650.3</v>
      </c>
      <c r="N13" s="81" t="s">
        <v>44</v>
      </c>
      <c r="O13" s="81"/>
    </row>
    <row r="14" spans="2:15" s="75" customFormat="1" ht="45.75" customHeight="1">
      <c r="B14" s="84">
        <v>3</v>
      </c>
      <c r="C14" s="85" t="s">
        <v>104</v>
      </c>
      <c r="D14" s="84" t="s">
        <v>53</v>
      </c>
      <c r="E14" s="84" t="s">
        <v>39</v>
      </c>
      <c r="F14" s="86">
        <v>130.9</v>
      </c>
      <c r="G14" s="86" t="s">
        <v>29</v>
      </c>
      <c r="H14" s="87" t="s">
        <v>40</v>
      </c>
      <c r="I14" s="80">
        <v>55.9</v>
      </c>
      <c r="J14" s="80"/>
      <c r="K14" s="80"/>
      <c r="L14" s="62">
        <f t="shared" si="0"/>
        <v>55.9</v>
      </c>
      <c r="M14" s="336"/>
      <c r="N14" s="81" t="s">
        <v>29</v>
      </c>
      <c r="O14" s="81"/>
    </row>
    <row r="15" spans="2:15" s="75" customFormat="1" ht="45.75" customHeight="1">
      <c r="B15" s="84">
        <v>4</v>
      </c>
      <c r="C15" s="85" t="s">
        <v>106</v>
      </c>
      <c r="D15" s="84" t="s">
        <v>107</v>
      </c>
      <c r="E15" s="84" t="s">
        <v>100</v>
      </c>
      <c r="F15" s="86">
        <v>243.4</v>
      </c>
      <c r="G15" s="86" t="s">
        <v>29</v>
      </c>
      <c r="H15" s="87" t="s">
        <v>40</v>
      </c>
      <c r="I15" s="80"/>
      <c r="J15" s="80">
        <v>243.4</v>
      </c>
      <c r="K15" s="80"/>
      <c r="L15" s="62">
        <f t="shared" si="0"/>
        <v>243.4</v>
      </c>
      <c r="M15" s="56">
        <f aca="true" t="shared" si="1" ref="M15:M21">L15</f>
        <v>243.4</v>
      </c>
      <c r="N15" s="81" t="s">
        <v>44</v>
      </c>
      <c r="O15" s="81"/>
    </row>
    <row r="16" spans="2:15" s="75" customFormat="1" ht="45.75" customHeight="1">
      <c r="B16" s="76">
        <v>5</v>
      </c>
      <c r="C16" s="77" t="s">
        <v>41</v>
      </c>
      <c r="D16" s="76" t="s">
        <v>138</v>
      </c>
      <c r="E16" s="76" t="s">
        <v>39</v>
      </c>
      <c r="F16" s="78">
        <v>33.5</v>
      </c>
      <c r="G16" s="78" t="s">
        <v>29</v>
      </c>
      <c r="H16" s="79" t="s">
        <v>40</v>
      </c>
      <c r="I16" s="78"/>
      <c r="J16" s="80">
        <v>33.5</v>
      </c>
      <c r="K16" s="80"/>
      <c r="L16" s="62">
        <f t="shared" si="0"/>
        <v>33.5</v>
      </c>
      <c r="M16" s="56">
        <f t="shared" si="1"/>
        <v>33.5</v>
      </c>
      <c r="N16" s="81" t="s">
        <v>44</v>
      </c>
      <c r="O16" s="81"/>
    </row>
    <row r="17" spans="2:15" s="75" customFormat="1" ht="45.75" customHeight="1">
      <c r="B17" s="84">
        <v>6</v>
      </c>
      <c r="C17" s="85" t="s">
        <v>144</v>
      </c>
      <c r="D17" s="84" t="s">
        <v>139</v>
      </c>
      <c r="E17" s="84" t="s">
        <v>39</v>
      </c>
      <c r="F17" s="86">
        <v>94.3</v>
      </c>
      <c r="G17" s="86" t="s">
        <v>29</v>
      </c>
      <c r="H17" s="87" t="s">
        <v>40</v>
      </c>
      <c r="I17" s="86">
        <v>94.3</v>
      </c>
      <c r="J17" s="80"/>
      <c r="K17" s="80"/>
      <c r="L17" s="62">
        <f t="shared" si="0"/>
        <v>94.3</v>
      </c>
      <c r="M17" s="56">
        <f t="shared" si="1"/>
        <v>94.3</v>
      </c>
      <c r="N17" s="81" t="s">
        <v>29</v>
      </c>
      <c r="O17" s="81"/>
    </row>
    <row r="18" spans="2:15" s="75" customFormat="1" ht="46.5" customHeight="1">
      <c r="B18" s="76">
        <v>7</v>
      </c>
      <c r="C18" s="77" t="s">
        <v>143</v>
      </c>
      <c r="D18" s="76">
        <v>283</v>
      </c>
      <c r="E18" s="76">
        <v>5</v>
      </c>
      <c r="F18" s="78">
        <v>316.5</v>
      </c>
      <c r="G18" s="78" t="s">
        <v>1</v>
      </c>
      <c r="H18" s="79" t="s">
        <v>40</v>
      </c>
      <c r="I18" s="80"/>
      <c r="J18" s="80">
        <v>44.1</v>
      </c>
      <c r="K18" s="80"/>
      <c r="L18" s="62">
        <f t="shared" si="0"/>
        <v>44.1</v>
      </c>
      <c r="M18" s="56">
        <f t="shared" si="1"/>
        <v>44.1</v>
      </c>
      <c r="N18" s="81" t="s">
        <v>44</v>
      </c>
      <c r="O18" s="81"/>
    </row>
    <row r="19" spans="2:15" s="75" customFormat="1" ht="45.75" customHeight="1">
      <c r="B19" s="84">
        <v>8</v>
      </c>
      <c r="C19" s="85" t="s">
        <v>145</v>
      </c>
      <c r="D19" s="84" t="s">
        <v>132</v>
      </c>
      <c r="E19" s="84" t="s">
        <v>39</v>
      </c>
      <c r="F19" s="187">
        <v>1709.7</v>
      </c>
      <c r="G19" s="86" t="s">
        <v>29</v>
      </c>
      <c r="H19" s="87" t="s">
        <v>40</v>
      </c>
      <c r="I19" s="187"/>
      <c r="J19" s="80">
        <v>1694.9</v>
      </c>
      <c r="K19" s="80">
        <v>14.8</v>
      </c>
      <c r="L19" s="62">
        <f t="shared" si="0"/>
        <v>1709.7</v>
      </c>
      <c r="M19" s="56">
        <f t="shared" si="1"/>
        <v>1709.7</v>
      </c>
      <c r="N19" s="81" t="s">
        <v>44</v>
      </c>
      <c r="O19" s="81"/>
    </row>
    <row r="20" spans="2:15" s="65" customFormat="1" ht="45.75" customHeight="1">
      <c r="B20" s="71">
        <v>9</v>
      </c>
      <c r="C20" s="74" t="s">
        <v>136</v>
      </c>
      <c r="D20" s="71" t="s">
        <v>137</v>
      </c>
      <c r="E20" s="71" t="s">
        <v>103</v>
      </c>
      <c r="F20" s="72">
        <v>823.5</v>
      </c>
      <c r="G20" s="72" t="s">
        <v>50</v>
      </c>
      <c r="H20" s="73" t="s">
        <v>40</v>
      </c>
      <c r="I20" s="72"/>
      <c r="J20" s="66">
        <v>823.5</v>
      </c>
      <c r="K20" s="66"/>
      <c r="L20" s="62">
        <f t="shared" si="0"/>
        <v>823.5</v>
      </c>
      <c r="M20" s="225">
        <f t="shared" si="1"/>
        <v>823.5</v>
      </c>
      <c r="N20" s="67" t="s">
        <v>44</v>
      </c>
      <c r="O20" s="67"/>
    </row>
    <row r="21" spans="2:15" s="65" customFormat="1" ht="45.75" customHeight="1">
      <c r="B21" s="71">
        <v>10</v>
      </c>
      <c r="C21" s="220" t="s">
        <v>289</v>
      </c>
      <c r="D21" s="71" t="s">
        <v>290</v>
      </c>
      <c r="E21" s="71" t="s">
        <v>39</v>
      </c>
      <c r="F21" s="72">
        <v>100.2</v>
      </c>
      <c r="G21" s="72" t="s">
        <v>29</v>
      </c>
      <c r="H21" s="224" t="s">
        <v>40</v>
      </c>
      <c r="I21" s="72"/>
      <c r="J21" s="66">
        <v>48</v>
      </c>
      <c r="K21" s="66"/>
      <c r="L21" s="62">
        <f t="shared" si="0"/>
        <v>48</v>
      </c>
      <c r="M21" s="225">
        <f t="shared" si="1"/>
        <v>48</v>
      </c>
      <c r="N21" s="67" t="s">
        <v>44</v>
      </c>
      <c r="O21" s="67"/>
    </row>
    <row r="22" spans="2:15" s="75" customFormat="1" ht="45.75" customHeight="1">
      <c r="B22" s="76">
        <v>11</v>
      </c>
      <c r="C22" s="77" t="s">
        <v>49</v>
      </c>
      <c r="D22" s="76" t="s">
        <v>130</v>
      </c>
      <c r="E22" s="76" t="s">
        <v>39</v>
      </c>
      <c r="F22" s="78">
        <v>303.7</v>
      </c>
      <c r="G22" s="78" t="s">
        <v>50</v>
      </c>
      <c r="H22" s="79" t="s">
        <v>40</v>
      </c>
      <c r="I22" s="78"/>
      <c r="J22" s="80">
        <v>303.7</v>
      </c>
      <c r="K22" s="80"/>
      <c r="L22" s="62">
        <f t="shared" si="0"/>
        <v>303.7</v>
      </c>
      <c r="M22" s="335">
        <f>L22+L23</f>
        <v>377.2</v>
      </c>
      <c r="N22" s="81" t="s">
        <v>44</v>
      </c>
      <c r="O22" s="81"/>
    </row>
    <row r="23" spans="2:15" s="75" customFormat="1" ht="45.75" customHeight="1">
      <c r="B23" s="84">
        <v>11</v>
      </c>
      <c r="C23" s="85" t="s">
        <v>49</v>
      </c>
      <c r="D23" s="84" t="s">
        <v>131</v>
      </c>
      <c r="E23" s="84" t="s">
        <v>39</v>
      </c>
      <c r="F23" s="86">
        <v>73.5</v>
      </c>
      <c r="G23" s="78" t="s">
        <v>50</v>
      </c>
      <c r="H23" s="87" t="s">
        <v>40</v>
      </c>
      <c r="I23" s="86"/>
      <c r="J23" s="80">
        <v>73.5</v>
      </c>
      <c r="K23" s="80"/>
      <c r="L23" s="62">
        <f t="shared" si="0"/>
        <v>73.5</v>
      </c>
      <c r="M23" s="336"/>
      <c r="N23" s="81" t="s">
        <v>44</v>
      </c>
      <c r="O23" s="81"/>
    </row>
    <row r="24" spans="2:15" s="75" customFormat="1" ht="45.75" customHeight="1">
      <c r="B24" s="84">
        <v>12</v>
      </c>
      <c r="C24" s="85" t="s">
        <v>142</v>
      </c>
      <c r="D24" s="84" t="s">
        <v>133</v>
      </c>
      <c r="E24" s="84" t="s">
        <v>100</v>
      </c>
      <c r="F24" s="86">
        <v>129</v>
      </c>
      <c r="G24" s="86" t="s">
        <v>50</v>
      </c>
      <c r="H24" s="87" t="s">
        <v>40</v>
      </c>
      <c r="I24" s="86"/>
      <c r="J24" s="80">
        <v>129</v>
      </c>
      <c r="K24" s="80"/>
      <c r="L24" s="62">
        <f t="shared" si="0"/>
        <v>129</v>
      </c>
      <c r="M24" s="56">
        <f>L24</f>
        <v>129</v>
      </c>
      <c r="N24" s="81" t="s">
        <v>44</v>
      </c>
      <c r="O24" s="81"/>
    </row>
    <row r="25" spans="2:15" s="75" customFormat="1" ht="45.75" customHeight="1">
      <c r="B25" s="84">
        <v>13</v>
      </c>
      <c r="C25" s="85" t="s">
        <v>134</v>
      </c>
      <c r="D25" s="84" t="s">
        <v>135</v>
      </c>
      <c r="E25" s="84" t="s">
        <v>103</v>
      </c>
      <c r="F25" s="86">
        <v>787.1</v>
      </c>
      <c r="G25" s="86" t="s">
        <v>50</v>
      </c>
      <c r="H25" s="87" t="s">
        <v>40</v>
      </c>
      <c r="I25" s="86"/>
      <c r="J25" s="80">
        <v>787.1</v>
      </c>
      <c r="K25" s="80"/>
      <c r="L25" s="62">
        <f t="shared" si="0"/>
        <v>787.1</v>
      </c>
      <c r="M25" s="56">
        <f>L25</f>
        <v>787.1</v>
      </c>
      <c r="N25" s="81" t="s">
        <v>44</v>
      </c>
      <c r="O25" s="81"/>
    </row>
    <row r="26" spans="2:15" s="75" customFormat="1" ht="45.75" customHeight="1">
      <c r="B26" s="84">
        <v>14</v>
      </c>
      <c r="C26" s="85" t="s">
        <v>140</v>
      </c>
      <c r="D26" s="84" t="s">
        <v>141</v>
      </c>
      <c r="E26" s="84" t="s">
        <v>100</v>
      </c>
      <c r="F26" s="86">
        <v>73.6</v>
      </c>
      <c r="G26" s="86" t="s">
        <v>1</v>
      </c>
      <c r="H26" s="87" t="s">
        <v>40</v>
      </c>
      <c r="I26" s="86">
        <v>25.3</v>
      </c>
      <c r="J26" s="80"/>
      <c r="K26" s="80"/>
      <c r="L26" s="62">
        <f t="shared" si="0"/>
        <v>25.3</v>
      </c>
      <c r="M26" s="56">
        <f>L26</f>
        <v>25.3</v>
      </c>
      <c r="N26" s="81" t="s">
        <v>29</v>
      </c>
      <c r="O26" s="81"/>
    </row>
    <row r="27" spans="1:15" s="188" customFormat="1" ht="18.75">
      <c r="A27" s="88"/>
      <c r="B27" s="197"/>
      <c r="C27" s="64"/>
      <c r="D27" s="198"/>
      <c r="E27" s="198"/>
      <c r="F27" s="198"/>
      <c r="G27" s="198"/>
      <c r="H27" s="199"/>
      <c r="I27" s="198"/>
      <c r="J27" s="198"/>
      <c r="K27" s="198"/>
      <c r="L27" s="200"/>
      <c r="M27" s="200"/>
      <c r="N27" s="198"/>
      <c r="O27" s="201"/>
    </row>
    <row r="28" spans="1:15" s="188" customFormat="1" ht="25.5" customHeight="1">
      <c r="A28" s="208"/>
      <c r="B28" s="197"/>
      <c r="C28" s="64"/>
      <c r="D28" s="198"/>
      <c r="E28" s="198"/>
      <c r="F28" s="198"/>
      <c r="G28" s="198"/>
      <c r="H28" s="199"/>
      <c r="I28" s="198"/>
      <c r="J28" s="198"/>
      <c r="K28" s="198"/>
      <c r="L28" s="200"/>
      <c r="M28" s="200"/>
      <c r="N28" s="198"/>
      <c r="O28" s="201"/>
    </row>
    <row r="29" spans="1:15" s="188" customFormat="1" ht="25.5" customHeight="1">
      <c r="A29" s="208"/>
      <c r="B29" s="197"/>
      <c r="C29" s="64"/>
      <c r="D29" s="198"/>
      <c r="E29" s="198"/>
      <c r="F29" s="198"/>
      <c r="G29" s="198"/>
      <c r="H29" s="199"/>
      <c r="I29" s="198"/>
      <c r="J29" s="198"/>
      <c r="K29" s="198"/>
      <c r="L29" s="200"/>
      <c r="M29" s="200"/>
      <c r="N29" s="198"/>
      <c r="O29" s="201"/>
    </row>
    <row r="30" spans="1:15" s="188" customFormat="1" ht="18.75">
      <c r="A30" s="208"/>
      <c r="B30" s="197"/>
      <c r="C30" s="64"/>
      <c r="D30" s="198"/>
      <c r="E30" s="198"/>
      <c r="F30" s="198"/>
      <c r="G30" s="198"/>
      <c r="H30" s="199"/>
      <c r="I30" s="198"/>
      <c r="J30" s="198"/>
      <c r="K30" s="198"/>
      <c r="L30" s="200"/>
      <c r="M30" s="200"/>
      <c r="N30" s="198"/>
      <c r="O30" s="201"/>
    </row>
    <row r="31" spans="1:15" s="188" customFormat="1" ht="18.75">
      <c r="A31" s="208"/>
      <c r="B31" s="197"/>
      <c r="C31" s="64"/>
      <c r="D31" s="198"/>
      <c r="E31" s="198"/>
      <c r="F31" s="198"/>
      <c r="G31" s="198"/>
      <c r="H31" s="199"/>
      <c r="I31" s="198"/>
      <c r="J31" s="198"/>
      <c r="K31" s="198"/>
      <c r="L31" s="200"/>
      <c r="M31" s="200"/>
      <c r="N31" s="198"/>
      <c r="O31" s="201"/>
    </row>
    <row r="32" spans="1:15" s="188" customFormat="1" ht="18.75">
      <c r="A32" s="208"/>
      <c r="B32" s="197"/>
      <c r="C32" s="64"/>
      <c r="D32" s="198"/>
      <c r="E32" s="198"/>
      <c r="F32" s="198"/>
      <c r="G32" s="198"/>
      <c r="H32" s="199"/>
      <c r="I32" s="198"/>
      <c r="J32" s="198"/>
      <c r="K32" s="198"/>
      <c r="L32" s="200"/>
      <c r="M32" s="200"/>
      <c r="N32" s="198"/>
      <c r="O32" s="201"/>
    </row>
    <row r="33" spans="1:15" s="188" customFormat="1" ht="18.75">
      <c r="A33" s="208"/>
      <c r="B33" s="197"/>
      <c r="C33" s="64"/>
      <c r="D33" s="198"/>
      <c r="E33" s="198"/>
      <c r="F33" s="198"/>
      <c r="G33" s="198"/>
      <c r="H33" s="199"/>
      <c r="I33" s="198"/>
      <c r="J33" s="198"/>
      <c r="K33" s="198"/>
      <c r="L33" s="200"/>
      <c r="M33" s="200"/>
      <c r="N33" s="198"/>
      <c r="O33" s="201"/>
    </row>
    <row r="34" spans="1:15" s="188" customFormat="1" ht="18.75">
      <c r="A34" s="208"/>
      <c r="B34" s="197"/>
      <c r="C34" s="64"/>
      <c r="D34" s="198"/>
      <c r="E34" s="198"/>
      <c r="F34" s="198"/>
      <c r="G34" s="198"/>
      <c r="H34" s="199"/>
      <c r="I34" s="198"/>
      <c r="J34" s="198"/>
      <c r="K34" s="198"/>
      <c r="L34" s="200"/>
      <c r="M34" s="200"/>
      <c r="N34" s="198"/>
      <c r="O34" s="201"/>
    </row>
    <row r="35" spans="1:15" s="188" customFormat="1" ht="27.75" customHeight="1">
      <c r="A35" s="208"/>
      <c r="B35" s="197"/>
      <c r="C35" s="64"/>
      <c r="D35" s="198"/>
      <c r="E35" s="198"/>
      <c r="F35" s="198"/>
      <c r="G35" s="198"/>
      <c r="H35" s="199"/>
      <c r="I35" s="198"/>
      <c r="J35" s="198"/>
      <c r="K35" s="198"/>
      <c r="L35" s="200"/>
      <c r="M35" s="200"/>
      <c r="N35" s="198"/>
      <c r="O35" s="201"/>
    </row>
    <row r="36" spans="1:15" s="188" customFormat="1" ht="18.75">
      <c r="A36" s="208"/>
      <c r="B36" s="197"/>
      <c r="C36" s="64"/>
      <c r="D36" s="198"/>
      <c r="E36" s="198"/>
      <c r="F36" s="198"/>
      <c r="G36" s="198"/>
      <c r="H36" s="199"/>
      <c r="I36" s="198"/>
      <c r="J36" s="198"/>
      <c r="K36" s="198"/>
      <c r="L36" s="200"/>
      <c r="M36" s="200"/>
      <c r="N36" s="198"/>
      <c r="O36" s="201"/>
    </row>
    <row r="37" spans="1:15" s="188" customFormat="1" ht="18.75">
      <c r="A37" s="208"/>
      <c r="B37" s="197"/>
      <c r="C37" s="64"/>
      <c r="D37" s="198"/>
      <c r="E37" s="198"/>
      <c r="F37" s="198"/>
      <c r="G37" s="198"/>
      <c r="H37" s="199"/>
      <c r="I37" s="198"/>
      <c r="J37" s="198"/>
      <c r="K37" s="198"/>
      <c r="L37" s="200"/>
      <c r="M37" s="200"/>
      <c r="N37" s="198"/>
      <c r="O37" s="201"/>
    </row>
    <row r="38" spans="1:15" s="188" customFormat="1" ht="18.75">
      <c r="A38" s="208"/>
      <c r="B38" s="197"/>
      <c r="C38" s="64"/>
      <c r="D38" s="198"/>
      <c r="E38" s="198"/>
      <c r="F38" s="198"/>
      <c r="G38" s="198"/>
      <c r="H38" s="199"/>
      <c r="I38" s="198"/>
      <c r="J38" s="198"/>
      <c r="K38" s="198"/>
      <c r="L38" s="200"/>
      <c r="M38" s="200"/>
      <c r="N38" s="198"/>
      <c r="O38" s="201"/>
    </row>
    <row r="39" spans="1:15" s="188" customFormat="1" ht="18.75">
      <c r="A39" s="208"/>
      <c r="B39" s="197"/>
      <c r="C39" s="64"/>
      <c r="D39" s="198"/>
      <c r="E39" s="198"/>
      <c r="F39" s="198"/>
      <c r="G39" s="198"/>
      <c r="H39" s="199"/>
      <c r="I39" s="198"/>
      <c r="J39" s="198"/>
      <c r="K39" s="198"/>
      <c r="L39" s="200"/>
      <c r="M39" s="200"/>
      <c r="N39" s="198"/>
      <c r="O39" s="201"/>
    </row>
    <row r="40" spans="1:15" s="188" customFormat="1" ht="18.75">
      <c r="A40" s="208"/>
      <c r="B40" s="197"/>
      <c r="C40" s="64"/>
      <c r="D40" s="198"/>
      <c r="E40" s="198"/>
      <c r="F40" s="198"/>
      <c r="G40" s="198"/>
      <c r="H40" s="199"/>
      <c r="I40" s="198"/>
      <c r="J40" s="198"/>
      <c r="K40" s="198"/>
      <c r="L40" s="200"/>
      <c r="M40" s="200"/>
      <c r="N40" s="198"/>
      <c r="O40" s="201"/>
    </row>
    <row r="41" spans="1:15" s="188" customFormat="1" ht="18.75">
      <c r="A41" s="208"/>
      <c r="B41" s="197"/>
      <c r="C41" s="64"/>
      <c r="D41" s="198"/>
      <c r="E41" s="198"/>
      <c r="F41" s="198"/>
      <c r="G41" s="198"/>
      <c r="H41" s="199"/>
      <c r="I41" s="198"/>
      <c r="J41" s="198"/>
      <c r="K41" s="198"/>
      <c r="L41" s="200"/>
      <c r="M41" s="200"/>
      <c r="N41" s="198"/>
      <c r="O41" s="201"/>
    </row>
    <row r="42" spans="1:15" s="188" customFormat="1" ht="18.75">
      <c r="A42" s="208"/>
      <c r="B42" s="197"/>
      <c r="C42" s="64"/>
      <c r="D42" s="198"/>
      <c r="E42" s="198"/>
      <c r="F42" s="198"/>
      <c r="G42" s="198"/>
      <c r="H42" s="199"/>
      <c r="I42" s="198"/>
      <c r="J42" s="198"/>
      <c r="K42" s="198"/>
      <c r="L42" s="200"/>
      <c r="M42" s="200"/>
      <c r="N42" s="198"/>
      <c r="O42" s="201"/>
    </row>
    <row r="43" spans="1:15" s="188" customFormat="1" ht="18.75">
      <c r="A43" s="208"/>
      <c r="B43" s="197"/>
      <c r="C43" s="64"/>
      <c r="D43" s="198"/>
      <c r="E43" s="198"/>
      <c r="F43" s="198"/>
      <c r="G43" s="198"/>
      <c r="H43" s="199"/>
      <c r="I43" s="198"/>
      <c r="J43" s="198"/>
      <c r="K43" s="198"/>
      <c r="L43" s="200"/>
      <c r="M43" s="200"/>
      <c r="N43" s="198"/>
      <c r="O43" s="201"/>
    </row>
    <row r="44" spans="1:15" s="188" customFormat="1" ht="18.75">
      <c r="A44" s="208"/>
      <c r="B44" s="197"/>
      <c r="C44" s="64"/>
      <c r="D44" s="198"/>
      <c r="E44" s="198"/>
      <c r="F44" s="198"/>
      <c r="G44" s="198"/>
      <c r="H44" s="199"/>
      <c r="I44" s="198"/>
      <c r="J44" s="198"/>
      <c r="K44" s="198"/>
      <c r="L44" s="200"/>
      <c r="M44" s="200"/>
      <c r="N44" s="198"/>
      <c r="O44" s="201"/>
    </row>
    <row r="45" spans="1:15" s="188" customFormat="1" ht="18.75">
      <c r="A45" s="208"/>
      <c r="B45" s="197"/>
      <c r="C45" s="64"/>
      <c r="D45" s="198"/>
      <c r="E45" s="198"/>
      <c r="F45" s="198"/>
      <c r="G45" s="198"/>
      <c r="H45" s="199"/>
      <c r="I45" s="198"/>
      <c r="J45" s="198"/>
      <c r="K45" s="198"/>
      <c r="L45" s="200"/>
      <c r="M45" s="200"/>
      <c r="N45" s="198"/>
      <c r="O45" s="201"/>
    </row>
    <row r="46" spans="1:15" s="188" customFormat="1" ht="18.75">
      <c r="A46" s="208"/>
      <c r="B46" s="197"/>
      <c r="C46" s="64"/>
      <c r="D46" s="198"/>
      <c r="E46" s="198"/>
      <c r="F46" s="198"/>
      <c r="G46" s="198"/>
      <c r="H46" s="199"/>
      <c r="I46" s="198"/>
      <c r="J46" s="198"/>
      <c r="K46" s="198"/>
      <c r="L46" s="200"/>
      <c r="M46" s="200"/>
      <c r="N46" s="198"/>
      <c r="O46" s="201"/>
    </row>
    <row r="47" spans="1:15" s="188" customFormat="1" ht="18.75">
      <c r="A47" s="208"/>
      <c r="B47" s="197"/>
      <c r="C47" s="64"/>
      <c r="D47" s="198"/>
      <c r="E47" s="198"/>
      <c r="F47" s="198"/>
      <c r="G47" s="198"/>
      <c r="H47" s="199"/>
      <c r="I47" s="198"/>
      <c r="J47" s="198"/>
      <c r="K47" s="198"/>
      <c r="L47" s="200"/>
      <c r="M47" s="200"/>
      <c r="N47" s="198"/>
      <c r="O47" s="201"/>
    </row>
    <row r="48" spans="1:15" s="188" customFormat="1" ht="18.75">
      <c r="A48" s="208"/>
      <c r="B48" s="197"/>
      <c r="C48" s="64"/>
      <c r="D48" s="198"/>
      <c r="E48" s="198"/>
      <c r="F48" s="198"/>
      <c r="G48" s="198"/>
      <c r="H48" s="199"/>
      <c r="I48" s="198"/>
      <c r="J48" s="198"/>
      <c r="K48" s="198"/>
      <c r="L48" s="200"/>
      <c r="M48" s="200"/>
      <c r="N48" s="198"/>
      <c r="O48" s="201"/>
    </row>
    <row r="49" spans="1:15" s="188" customFormat="1" ht="18.75">
      <c r="A49" s="208"/>
      <c r="B49" s="197"/>
      <c r="C49" s="64"/>
      <c r="D49" s="198"/>
      <c r="E49" s="198"/>
      <c r="F49" s="198"/>
      <c r="G49" s="198"/>
      <c r="H49" s="199"/>
      <c r="I49" s="198"/>
      <c r="J49" s="198"/>
      <c r="K49" s="198"/>
      <c r="L49" s="200"/>
      <c r="M49" s="200"/>
      <c r="N49" s="198"/>
      <c r="O49" s="201"/>
    </row>
    <row r="50" spans="1:15" s="188" customFormat="1" ht="18.75">
      <c r="A50" s="208"/>
      <c r="B50" s="197"/>
      <c r="C50" s="64"/>
      <c r="D50" s="198"/>
      <c r="E50" s="198"/>
      <c r="F50" s="198"/>
      <c r="G50" s="198"/>
      <c r="H50" s="199"/>
      <c r="I50" s="198"/>
      <c r="J50" s="198"/>
      <c r="K50" s="198"/>
      <c r="L50" s="200"/>
      <c r="M50" s="200"/>
      <c r="N50" s="198"/>
      <c r="O50" s="201"/>
    </row>
    <row r="51" spans="1:15" s="188" customFormat="1" ht="18.75">
      <c r="A51" s="208"/>
      <c r="B51" s="197"/>
      <c r="C51" s="64"/>
      <c r="D51" s="198"/>
      <c r="E51" s="198"/>
      <c r="F51" s="198"/>
      <c r="G51" s="198"/>
      <c r="H51" s="199"/>
      <c r="I51" s="198"/>
      <c r="J51" s="198"/>
      <c r="K51" s="198"/>
      <c r="L51" s="200"/>
      <c r="M51" s="200"/>
      <c r="N51" s="198"/>
      <c r="O51" s="201"/>
    </row>
    <row r="52" spans="1:15" s="188" customFormat="1" ht="18.75">
      <c r="A52" s="208"/>
      <c r="B52" s="197"/>
      <c r="C52" s="64"/>
      <c r="D52" s="198"/>
      <c r="E52" s="198"/>
      <c r="F52" s="198"/>
      <c r="G52" s="198"/>
      <c r="H52" s="199"/>
      <c r="I52" s="198"/>
      <c r="J52" s="198"/>
      <c r="K52" s="198"/>
      <c r="L52" s="200"/>
      <c r="M52" s="200"/>
      <c r="N52" s="198"/>
      <c r="O52" s="201"/>
    </row>
    <row r="53" spans="1:15" s="188" customFormat="1" ht="18.75">
      <c r="A53" s="208"/>
      <c r="B53" s="197"/>
      <c r="C53" s="64"/>
      <c r="D53" s="198"/>
      <c r="E53" s="198"/>
      <c r="F53" s="198"/>
      <c r="G53" s="198"/>
      <c r="H53" s="199"/>
      <c r="I53" s="198"/>
      <c r="J53" s="198"/>
      <c r="K53" s="198"/>
      <c r="L53" s="200"/>
      <c r="M53" s="200"/>
      <c r="N53" s="198"/>
      <c r="O53" s="201"/>
    </row>
    <row r="54" spans="1:15" s="188" customFormat="1" ht="18.75">
      <c r="A54" s="208"/>
      <c r="B54" s="197"/>
      <c r="C54" s="64"/>
      <c r="D54" s="198"/>
      <c r="E54" s="198"/>
      <c r="F54" s="198"/>
      <c r="G54" s="198"/>
      <c r="H54" s="199"/>
      <c r="I54" s="198"/>
      <c r="J54" s="198"/>
      <c r="K54" s="198"/>
      <c r="L54" s="200"/>
      <c r="M54" s="200"/>
      <c r="N54" s="198"/>
      <c r="O54" s="201"/>
    </row>
    <row r="55" spans="1:15" s="188" customFormat="1" ht="18.75">
      <c r="A55" s="208"/>
      <c r="B55" s="197"/>
      <c r="C55" s="64"/>
      <c r="D55" s="198"/>
      <c r="E55" s="198"/>
      <c r="F55" s="198"/>
      <c r="G55" s="198"/>
      <c r="H55" s="199"/>
      <c r="I55" s="198"/>
      <c r="J55" s="198"/>
      <c r="K55" s="198"/>
      <c r="L55" s="200"/>
      <c r="M55" s="200"/>
      <c r="N55" s="198"/>
      <c r="O55" s="201"/>
    </row>
    <row r="56" spans="1:15" s="188" customFormat="1" ht="18.75">
      <c r="A56" s="208"/>
      <c r="B56" s="197"/>
      <c r="C56" s="64"/>
      <c r="D56" s="198"/>
      <c r="E56" s="198"/>
      <c r="F56" s="198"/>
      <c r="G56" s="198"/>
      <c r="H56" s="199"/>
      <c r="I56" s="198"/>
      <c r="J56" s="198"/>
      <c r="K56" s="198"/>
      <c r="L56" s="200"/>
      <c r="M56" s="200"/>
      <c r="N56" s="198"/>
      <c r="O56" s="201"/>
    </row>
    <row r="57" spans="1:15" s="188" customFormat="1" ht="18.75">
      <c r="A57" s="208"/>
      <c r="B57" s="197"/>
      <c r="C57" s="64"/>
      <c r="D57" s="198"/>
      <c r="E57" s="198"/>
      <c r="F57" s="198"/>
      <c r="G57" s="198"/>
      <c r="H57" s="199"/>
      <c r="I57" s="198"/>
      <c r="J57" s="198"/>
      <c r="K57" s="198"/>
      <c r="L57" s="200"/>
      <c r="M57" s="200"/>
      <c r="N57" s="198"/>
      <c r="O57" s="201"/>
    </row>
    <row r="58" spans="1:15" s="188" customFormat="1" ht="18.75">
      <c r="A58" s="208"/>
      <c r="B58" s="197"/>
      <c r="C58" s="64"/>
      <c r="D58" s="198"/>
      <c r="E58" s="198"/>
      <c r="F58" s="198"/>
      <c r="G58" s="198"/>
      <c r="H58" s="199"/>
      <c r="I58" s="198"/>
      <c r="J58" s="198"/>
      <c r="K58" s="198"/>
      <c r="L58" s="200"/>
      <c r="M58" s="200"/>
      <c r="N58" s="198"/>
      <c r="O58" s="201"/>
    </row>
    <row r="59" spans="1:15" s="188" customFormat="1" ht="18.75">
      <c r="A59" s="208"/>
      <c r="B59" s="197"/>
      <c r="C59" s="64"/>
      <c r="D59" s="198"/>
      <c r="E59" s="198"/>
      <c r="F59" s="198"/>
      <c r="G59" s="198"/>
      <c r="H59" s="199"/>
      <c r="I59" s="198"/>
      <c r="J59" s="198"/>
      <c r="K59" s="198"/>
      <c r="L59" s="200"/>
      <c r="M59" s="200"/>
      <c r="N59" s="198"/>
      <c r="O59" s="201"/>
    </row>
    <row r="60" spans="1:15" s="188" customFormat="1" ht="18.75">
      <c r="A60" s="208"/>
      <c r="B60" s="197"/>
      <c r="C60" s="64"/>
      <c r="D60" s="198"/>
      <c r="E60" s="198"/>
      <c r="F60" s="198"/>
      <c r="G60" s="198"/>
      <c r="H60" s="199"/>
      <c r="I60" s="198"/>
      <c r="J60" s="198"/>
      <c r="K60" s="198"/>
      <c r="L60" s="200"/>
      <c r="M60" s="200"/>
      <c r="N60" s="198"/>
      <c r="O60" s="201"/>
    </row>
    <row r="61" spans="1:15" s="188" customFormat="1" ht="18.75">
      <c r="A61" s="208"/>
      <c r="B61" s="197"/>
      <c r="C61" s="64"/>
      <c r="D61" s="198"/>
      <c r="E61" s="198"/>
      <c r="F61" s="198"/>
      <c r="G61" s="198"/>
      <c r="H61" s="199"/>
      <c r="I61" s="198"/>
      <c r="J61" s="198"/>
      <c r="K61" s="198"/>
      <c r="L61" s="200"/>
      <c r="M61" s="200"/>
      <c r="N61" s="198"/>
      <c r="O61" s="201"/>
    </row>
    <row r="62" spans="1:15" s="188" customFormat="1" ht="18.75">
      <c r="A62" s="208"/>
      <c r="B62" s="197"/>
      <c r="C62" s="64"/>
      <c r="D62" s="198"/>
      <c r="E62" s="198"/>
      <c r="F62" s="198"/>
      <c r="G62" s="198"/>
      <c r="H62" s="199"/>
      <c r="I62" s="198"/>
      <c r="J62" s="198"/>
      <c r="K62" s="198"/>
      <c r="L62" s="200"/>
      <c r="M62" s="200"/>
      <c r="N62" s="198"/>
      <c r="O62" s="201"/>
    </row>
    <row r="63" spans="1:15" s="188" customFormat="1" ht="18.75">
      <c r="A63" s="208"/>
      <c r="B63" s="197"/>
      <c r="C63" s="64"/>
      <c r="D63" s="198"/>
      <c r="E63" s="198"/>
      <c r="F63" s="198"/>
      <c r="G63" s="198"/>
      <c r="H63" s="199"/>
      <c r="I63" s="198"/>
      <c r="J63" s="198"/>
      <c r="K63" s="198"/>
      <c r="L63" s="200"/>
      <c r="M63" s="200"/>
      <c r="N63" s="198"/>
      <c r="O63" s="201"/>
    </row>
    <row r="64" spans="1:15" s="188" customFormat="1" ht="18.75">
      <c r="A64" s="208"/>
      <c r="B64" s="197"/>
      <c r="C64" s="64"/>
      <c r="D64" s="198"/>
      <c r="E64" s="198"/>
      <c r="F64" s="198"/>
      <c r="G64" s="198"/>
      <c r="H64" s="199"/>
      <c r="I64" s="198"/>
      <c r="J64" s="198"/>
      <c r="K64" s="198"/>
      <c r="L64" s="200"/>
      <c r="M64" s="200"/>
      <c r="N64" s="198"/>
      <c r="O64" s="201"/>
    </row>
    <row r="65" spans="1:15" s="188" customFormat="1" ht="18.75">
      <c r="A65" s="208"/>
      <c r="B65" s="197"/>
      <c r="C65" s="64"/>
      <c r="D65" s="198"/>
      <c r="E65" s="198"/>
      <c r="F65" s="198"/>
      <c r="G65" s="198"/>
      <c r="H65" s="199"/>
      <c r="I65" s="198"/>
      <c r="J65" s="198"/>
      <c r="K65" s="198"/>
      <c r="L65" s="200"/>
      <c r="M65" s="200"/>
      <c r="N65" s="198"/>
      <c r="O65" s="201"/>
    </row>
    <row r="66" spans="1:15" s="188" customFormat="1" ht="18.75">
      <c r="A66" s="208"/>
      <c r="B66" s="197"/>
      <c r="C66" s="64"/>
      <c r="D66" s="198"/>
      <c r="E66" s="198"/>
      <c r="F66" s="198"/>
      <c r="G66" s="198"/>
      <c r="H66" s="199"/>
      <c r="I66" s="198"/>
      <c r="J66" s="198"/>
      <c r="K66" s="198"/>
      <c r="L66" s="200"/>
      <c r="M66" s="200"/>
      <c r="N66" s="198"/>
      <c r="O66" s="201"/>
    </row>
    <row r="67" spans="1:15" s="188" customFormat="1" ht="18.75">
      <c r="A67" s="208"/>
      <c r="B67" s="197"/>
      <c r="C67" s="64"/>
      <c r="D67" s="198"/>
      <c r="E67" s="198"/>
      <c r="F67" s="198"/>
      <c r="G67" s="198"/>
      <c r="H67" s="199"/>
      <c r="I67" s="198"/>
      <c r="J67" s="198"/>
      <c r="K67" s="198"/>
      <c r="L67" s="200"/>
      <c r="M67" s="200"/>
      <c r="N67" s="198"/>
      <c r="O67" s="201"/>
    </row>
    <row r="68" spans="1:15" s="188" customFormat="1" ht="18.75">
      <c r="A68" s="208"/>
      <c r="B68" s="197"/>
      <c r="C68" s="64"/>
      <c r="D68" s="198"/>
      <c r="E68" s="198"/>
      <c r="F68" s="198"/>
      <c r="G68" s="198"/>
      <c r="H68" s="199"/>
      <c r="I68" s="198"/>
      <c r="J68" s="198"/>
      <c r="K68" s="198"/>
      <c r="L68" s="200"/>
      <c r="M68" s="200"/>
      <c r="N68" s="198"/>
      <c r="O68" s="201"/>
    </row>
    <row r="69" spans="1:15" s="188" customFormat="1" ht="18.75">
      <c r="A69" s="208"/>
      <c r="B69" s="197"/>
      <c r="C69" s="64"/>
      <c r="D69" s="198"/>
      <c r="E69" s="198"/>
      <c r="F69" s="198"/>
      <c r="G69" s="198"/>
      <c r="H69" s="199"/>
      <c r="I69" s="198"/>
      <c r="J69" s="198"/>
      <c r="K69" s="198"/>
      <c r="L69" s="200"/>
      <c r="M69" s="200"/>
      <c r="N69" s="198"/>
      <c r="O69" s="201"/>
    </row>
    <row r="70" spans="1:15" s="188" customFormat="1" ht="18.75">
      <c r="A70" s="208"/>
      <c r="B70" s="197"/>
      <c r="C70" s="64"/>
      <c r="D70" s="198"/>
      <c r="E70" s="198"/>
      <c r="F70" s="198"/>
      <c r="G70" s="198"/>
      <c r="H70" s="199"/>
      <c r="I70" s="198"/>
      <c r="J70" s="198"/>
      <c r="K70" s="198"/>
      <c r="L70" s="200"/>
      <c r="M70" s="200"/>
      <c r="N70" s="198"/>
      <c r="O70" s="201"/>
    </row>
    <row r="71" spans="1:15" s="188" customFormat="1" ht="18.75">
      <c r="A71" s="208"/>
      <c r="B71" s="197"/>
      <c r="C71" s="64"/>
      <c r="D71" s="198"/>
      <c r="E71" s="198"/>
      <c r="F71" s="198"/>
      <c r="G71" s="198"/>
      <c r="H71" s="199"/>
      <c r="I71" s="198"/>
      <c r="J71" s="198"/>
      <c r="K71" s="198"/>
      <c r="L71" s="200"/>
      <c r="M71" s="200"/>
      <c r="N71" s="198"/>
      <c r="O71" s="201"/>
    </row>
    <row r="72" spans="1:15" s="188" customFormat="1" ht="18.75">
      <c r="A72" s="208"/>
      <c r="B72" s="197"/>
      <c r="C72" s="64"/>
      <c r="D72" s="198"/>
      <c r="E72" s="198"/>
      <c r="F72" s="198"/>
      <c r="G72" s="198"/>
      <c r="H72" s="199"/>
      <c r="I72" s="198"/>
      <c r="J72" s="198"/>
      <c r="K72" s="198"/>
      <c r="L72" s="200"/>
      <c r="M72" s="200"/>
      <c r="N72" s="198"/>
      <c r="O72" s="201"/>
    </row>
    <row r="73" spans="1:15" s="188" customFormat="1" ht="18.75">
      <c r="A73" s="208"/>
      <c r="B73" s="197"/>
      <c r="C73" s="64"/>
      <c r="D73" s="198"/>
      <c r="E73" s="198"/>
      <c r="F73" s="198"/>
      <c r="G73" s="198"/>
      <c r="H73" s="199"/>
      <c r="I73" s="198"/>
      <c r="J73" s="198"/>
      <c r="K73" s="198"/>
      <c r="L73" s="200"/>
      <c r="M73" s="200"/>
      <c r="N73" s="198"/>
      <c r="O73" s="201"/>
    </row>
    <row r="74" spans="1:15" s="188" customFormat="1" ht="18.75">
      <c r="A74" s="208"/>
      <c r="B74" s="197"/>
      <c r="C74" s="64"/>
      <c r="D74" s="198"/>
      <c r="E74" s="198"/>
      <c r="F74" s="198"/>
      <c r="G74" s="198"/>
      <c r="H74" s="199"/>
      <c r="I74" s="198"/>
      <c r="J74" s="198"/>
      <c r="K74" s="198"/>
      <c r="L74" s="200"/>
      <c r="M74" s="200"/>
      <c r="N74" s="198"/>
      <c r="O74" s="201"/>
    </row>
    <row r="75" spans="1:15" s="188" customFormat="1" ht="18.75">
      <c r="A75" s="208"/>
      <c r="B75" s="197"/>
      <c r="C75" s="64"/>
      <c r="D75" s="198"/>
      <c r="E75" s="198"/>
      <c r="F75" s="198"/>
      <c r="G75" s="198"/>
      <c r="H75" s="199"/>
      <c r="I75" s="198"/>
      <c r="J75" s="198"/>
      <c r="K75" s="198"/>
      <c r="L75" s="200"/>
      <c r="M75" s="200"/>
      <c r="N75" s="198"/>
      <c r="O75" s="201"/>
    </row>
    <row r="76" spans="1:15" s="188" customFormat="1" ht="18.75">
      <c r="A76" s="208"/>
      <c r="B76" s="197"/>
      <c r="C76" s="64"/>
      <c r="D76" s="198"/>
      <c r="E76" s="198"/>
      <c r="F76" s="198"/>
      <c r="G76" s="198"/>
      <c r="H76" s="199"/>
      <c r="I76" s="198"/>
      <c r="J76" s="198"/>
      <c r="K76" s="198"/>
      <c r="L76" s="200"/>
      <c r="M76" s="200"/>
      <c r="N76" s="198"/>
      <c r="O76" s="201"/>
    </row>
    <row r="77" spans="1:15" s="188" customFormat="1" ht="18.75">
      <c r="A77" s="208"/>
      <c r="B77" s="197"/>
      <c r="C77" s="64"/>
      <c r="D77" s="198"/>
      <c r="E77" s="198"/>
      <c r="F77" s="198"/>
      <c r="G77" s="198"/>
      <c r="H77" s="199"/>
      <c r="I77" s="198"/>
      <c r="J77" s="198"/>
      <c r="K77" s="198"/>
      <c r="L77" s="200"/>
      <c r="M77" s="200"/>
      <c r="N77" s="198"/>
      <c r="O77" s="201"/>
    </row>
    <row r="78" spans="1:15" s="188" customFormat="1" ht="18.75">
      <c r="A78" s="208"/>
      <c r="B78" s="197"/>
      <c r="C78" s="64"/>
      <c r="D78" s="198"/>
      <c r="E78" s="198"/>
      <c r="F78" s="198"/>
      <c r="G78" s="198"/>
      <c r="H78" s="199"/>
      <c r="I78" s="198"/>
      <c r="J78" s="198"/>
      <c r="K78" s="198"/>
      <c r="L78" s="200"/>
      <c r="M78" s="200"/>
      <c r="N78" s="198"/>
      <c r="O78" s="201"/>
    </row>
    <row r="79" spans="1:15" s="188" customFormat="1" ht="18.75">
      <c r="A79" s="208"/>
      <c r="B79" s="197"/>
      <c r="C79" s="64"/>
      <c r="D79" s="198"/>
      <c r="E79" s="198"/>
      <c r="F79" s="198"/>
      <c r="G79" s="198"/>
      <c r="H79" s="199"/>
      <c r="I79" s="198"/>
      <c r="J79" s="198"/>
      <c r="K79" s="198"/>
      <c r="L79" s="200"/>
      <c r="M79" s="200"/>
      <c r="N79" s="198"/>
      <c r="O79" s="201"/>
    </row>
    <row r="80" spans="1:15" s="188" customFormat="1" ht="18.75">
      <c r="A80" s="208"/>
      <c r="B80" s="197"/>
      <c r="C80" s="64"/>
      <c r="D80" s="198"/>
      <c r="E80" s="198"/>
      <c r="F80" s="198"/>
      <c r="G80" s="198"/>
      <c r="H80" s="199"/>
      <c r="I80" s="198"/>
      <c r="J80" s="198"/>
      <c r="K80" s="198"/>
      <c r="L80" s="200"/>
      <c r="M80" s="200"/>
      <c r="N80" s="198"/>
      <c r="O80" s="201"/>
    </row>
    <row r="81" spans="1:15" s="188" customFormat="1" ht="18.75">
      <c r="A81" s="208"/>
      <c r="B81" s="197"/>
      <c r="C81" s="64"/>
      <c r="D81" s="198"/>
      <c r="E81" s="198"/>
      <c r="F81" s="198"/>
      <c r="G81" s="198"/>
      <c r="H81" s="199"/>
      <c r="I81" s="198"/>
      <c r="J81" s="198"/>
      <c r="K81" s="198"/>
      <c r="L81" s="200"/>
      <c r="M81" s="200"/>
      <c r="N81" s="198"/>
      <c r="O81" s="201"/>
    </row>
    <row r="82" spans="1:15" s="188" customFormat="1" ht="18.75">
      <c r="A82" s="208"/>
      <c r="B82" s="197"/>
      <c r="C82" s="64"/>
      <c r="D82" s="198"/>
      <c r="E82" s="198"/>
      <c r="F82" s="198"/>
      <c r="G82" s="198"/>
      <c r="H82" s="199"/>
      <c r="I82" s="198"/>
      <c r="J82" s="198"/>
      <c r="K82" s="198"/>
      <c r="L82" s="200"/>
      <c r="M82" s="200"/>
      <c r="N82" s="198"/>
      <c r="O82" s="201"/>
    </row>
    <row r="83" spans="1:15" s="188" customFormat="1" ht="18.75">
      <c r="A83" s="208"/>
      <c r="B83" s="197"/>
      <c r="C83" s="64"/>
      <c r="D83" s="198"/>
      <c r="E83" s="198"/>
      <c r="F83" s="198"/>
      <c r="G83" s="198"/>
      <c r="H83" s="199"/>
      <c r="I83" s="198"/>
      <c r="J83" s="198"/>
      <c r="K83" s="198"/>
      <c r="L83" s="200"/>
      <c r="M83" s="200"/>
      <c r="N83" s="198"/>
      <c r="O83" s="201"/>
    </row>
    <row r="84" spans="1:15" s="188" customFormat="1" ht="18.75">
      <c r="A84" s="208"/>
      <c r="B84" s="197"/>
      <c r="C84" s="64"/>
      <c r="D84" s="198"/>
      <c r="E84" s="198"/>
      <c r="F84" s="198"/>
      <c r="G84" s="198"/>
      <c r="H84" s="199"/>
      <c r="I84" s="198"/>
      <c r="J84" s="198"/>
      <c r="K84" s="198"/>
      <c r="L84" s="200"/>
      <c r="M84" s="200"/>
      <c r="N84" s="198"/>
      <c r="O84" s="201"/>
    </row>
    <row r="85" spans="1:15" s="188" customFormat="1" ht="18.75">
      <c r="A85" s="208"/>
      <c r="B85" s="197"/>
      <c r="C85" s="64"/>
      <c r="D85" s="198"/>
      <c r="E85" s="198"/>
      <c r="F85" s="198"/>
      <c r="G85" s="198"/>
      <c r="H85" s="199"/>
      <c r="I85" s="198"/>
      <c r="J85" s="198"/>
      <c r="K85" s="198"/>
      <c r="L85" s="200"/>
      <c r="M85" s="200"/>
      <c r="N85" s="198"/>
      <c r="O85" s="201"/>
    </row>
    <row r="86" spans="1:15" s="188" customFormat="1" ht="18.75">
      <c r="A86" s="208"/>
      <c r="B86" s="197"/>
      <c r="C86" s="64"/>
      <c r="D86" s="198"/>
      <c r="E86" s="198"/>
      <c r="F86" s="198"/>
      <c r="G86" s="198"/>
      <c r="H86" s="199"/>
      <c r="I86" s="198"/>
      <c r="J86" s="198"/>
      <c r="K86" s="198"/>
      <c r="L86" s="200"/>
      <c r="M86" s="200"/>
      <c r="N86" s="198"/>
      <c r="O86" s="201"/>
    </row>
    <row r="87" spans="1:15" s="188" customFormat="1" ht="18.75">
      <c r="A87" s="208"/>
      <c r="B87" s="197"/>
      <c r="C87" s="64"/>
      <c r="D87" s="198"/>
      <c r="E87" s="198"/>
      <c r="F87" s="198"/>
      <c r="G87" s="198"/>
      <c r="H87" s="199"/>
      <c r="I87" s="198"/>
      <c r="J87" s="198"/>
      <c r="K87" s="198"/>
      <c r="L87" s="200"/>
      <c r="M87" s="200"/>
      <c r="N87" s="198"/>
      <c r="O87" s="201"/>
    </row>
    <row r="88" spans="1:15" s="188" customFormat="1" ht="18.75">
      <c r="A88" s="208"/>
      <c r="B88" s="197"/>
      <c r="C88" s="64"/>
      <c r="D88" s="198"/>
      <c r="E88" s="198"/>
      <c r="F88" s="198"/>
      <c r="G88" s="198"/>
      <c r="H88" s="199"/>
      <c r="I88" s="198"/>
      <c r="J88" s="198"/>
      <c r="K88" s="198"/>
      <c r="L88" s="200"/>
      <c r="M88" s="200"/>
      <c r="N88" s="198"/>
      <c r="O88" s="201"/>
    </row>
    <row r="89" spans="1:15" s="188" customFormat="1" ht="18.75">
      <c r="A89" s="208"/>
      <c r="B89" s="197"/>
      <c r="C89" s="64"/>
      <c r="D89" s="198"/>
      <c r="E89" s="198"/>
      <c r="F89" s="198"/>
      <c r="G89" s="198"/>
      <c r="H89" s="199"/>
      <c r="I89" s="198"/>
      <c r="J89" s="198"/>
      <c r="K89" s="198"/>
      <c r="L89" s="200"/>
      <c r="M89" s="200"/>
      <c r="N89" s="198"/>
      <c r="O89" s="201"/>
    </row>
    <row r="90" spans="1:144" s="210" customFormat="1" ht="18.75">
      <c r="A90" s="208"/>
      <c r="C90" s="63"/>
      <c r="D90" s="211"/>
      <c r="E90" s="211"/>
      <c r="F90" s="211"/>
      <c r="G90" s="211"/>
      <c r="H90" s="212"/>
      <c r="I90" s="211"/>
      <c r="J90" s="211"/>
      <c r="K90" s="211"/>
      <c r="L90" s="213"/>
      <c r="M90" s="213"/>
      <c r="N90" s="211"/>
      <c r="O90" s="19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/>
      <c r="EG90" s="189"/>
      <c r="EH90" s="189"/>
      <c r="EI90" s="189"/>
      <c r="EJ90" s="189"/>
      <c r="EK90" s="189"/>
      <c r="EL90" s="189"/>
      <c r="EM90" s="189"/>
      <c r="EN90" s="189"/>
    </row>
  </sheetData>
  <sheetProtection/>
  <autoFilter ref="A9:O26"/>
  <mergeCells count="18">
    <mergeCell ref="N6:N8"/>
    <mergeCell ref="I7:J7"/>
    <mergeCell ref="B5:O5"/>
    <mergeCell ref="M13:M14"/>
    <mergeCell ref="M22:M23"/>
    <mergeCell ref="L6:L8"/>
    <mergeCell ref="M6:M8"/>
    <mergeCell ref="O6:O8"/>
    <mergeCell ref="B1:R1"/>
    <mergeCell ref="B2:R2"/>
    <mergeCell ref="B3:R3"/>
    <mergeCell ref="B4:R4"/>
    <mergeCell ref="B10:C10"/>
    <mergeCell ref="A6:A8"/>
    <mergeCell ref="B6:B8"/>
    <mergeCell ref="C6:C8"/>
    <mergeCell ref="D6:H7"/>
    <mergeCell ref="I6:K6"/>
  </mergeCells>
  <printOptions/>
  <pageMargins left="0.5511811023622047" right="0.5511811023622047" top="0.8267716535433072" bottom="0.787401574803149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8"/>
  <sheetViews>
    <sheetView zoomScale="70" zoomScaleNormal="70" zoomScalePageLayoutView="0" workbookViewId="0" topLeftCell="D6">
      <pane ySplit="5" topLeftCell="A11" activePane="bottomLeft" state="frozen"/>
      <selection pane="topLeft" activeCell="A6" sqref="A6"/>
      <selection pane="bottomLeft" activeCell="F11" sqref="F11"/>
    </sheetView>
  </sheetViews>
  <sheetFormatPr defaultColWidth="10.28125" defaultRowHeight="15"/>
  <cols>
    <col min="1" max="1" width="7.00390625" style="143" customWidth="1"/>
    <col min="2" max="2" width="30.421875" style="144" customWidth="1"/>
    <col min="3" max="3" width="7.421875" style="145" customWidth="1"/>
    <col min="4" max="4" width="8.00390625" style="145" customWidth="1"/>
    <col min="5" max="5" width="14.57421875" style="146" customWidth="1"/>
    <col min="6" max="6" width="73.421875" style="145" customWidth="1"/>
    <col min="7" max="7" width="8.7109375" style="147" customWidth="1"/>
    <col min="8" max="8" width="9.7109375" style="146" customWidth="1"/>
    <col min="9" max="9" width="8.57421875" style="146" customWidth="1"/>
    <col min="10" max="10" width="14.28125" style="148" customWidth="1"/>
    <col min="11" max="11" width="15.28125" style="149" customWidth="1"/>
    <col min="12" max="12" width="15.57421875" style="146" customWidth="1"/>
    <col min="13" max="13" width="14.7109375" style="146" customWidth="1"/>
    <col min="14" max="14" width="15.00390625" style="146" customWidth="1"/>
    <col min="15" max="15" width="18.421875" style="146" customWidth="1"/>
    <col min="16" max="16" width="8.7109375" style="150" customWidth="1"/>
    <col min="17" max="17" width="8.28125" style="150" customWidth="1"/>
    <col min="18" max="18" width="17.140625" style="146" customWidth="1"/>
    <col min="19" max="19" width="18.28125" style="151" customWidth="1"/>
    <col min="20" max="20" width="18.57421875" style="152" customWidth="1"/>
    <col min="21" max="16384" width="10.28125" style="142" customWidth="1"/>
  </cols>
  <sheetData>
    <row r="1" spans="1:20" s="98" customFormat="1" ht="37.5" customHeight="1">
      <c r="A1" s="372" t="s">
        <v>55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</row>
    <row r="2" spans="1:20" s="98" customFormat="1" ht="37.5" customHeight="1">
      <c r="A2" s="373" t="s">
        <v>38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</row>
    <row r="3" spans="1:20" s="98" customFormat="1" ht="37.5" customHeight="1">
      <c r="A3" s="374" t="s">
        <v>247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</row>
    <row r="4" spans="1:20" s="100" customFormat="1" ht="30" customHeight="1">
      <c r="A4" s="99"/>
      <c r="B4" s="375" t="s">
        <v>285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0" s="98" customFormat="1" ht="27.75" customHeight="1">
      <c r="A5" s="101"/>
      <c r="B5" s="102"/>
      <c r="C5" s="103"/>
      <c r="D5" s="103"/>
      <c r="E5" s="101"/>
      <c r="F5" s="103"/>
      <c r="G5" s="104"/>
      <c r="H5" s="101"/>
      <c r="I5" s="101"/>
      <c r="J5" s="105"/>
      <c r="K5" s="106"/>
      <c r="L5" s="101"/>
      <c r="M5" s="101"/>
      <c r="N5" s="101"/>
      <c r="O5" s="101"/>
      <c r="P5" s="104"/>
      <c r="Q5" s="104"/>
      <c r="R5" s="101"/>
      <c r="S5" s="104"/>
      <c r="T5" s="101"/>
    </row>
    <row r="6" spans="1:20" s="98" customFormat="1" ht="45.75" customHeight="1">
      <c r="A6" s="369" t="s">
        <v>56</v>
      </c>
      <c r="B6" s="365" t="s">
        <v>57</v>
      </c>
      <c r="C6" s="362" t="s">
        <v>58</v>
      </c>
      <c r="D6" s="362" t="s">
        <v>59</v>
      </c>
      <c r="E6" s="365" t="s">
        <v>60</v>
      </c>
      <c r="F6" s="365" t="s">
        <v>2</v>
      </c>
      <c r="G6" s="367" t="s">
        <v>61</v>
      </c>
      <c r="H6" s="368"/>
      <c r="I6" s="369"/>
      <c r="J6" s="370" t="s">
        <v>62</v>
      </c>
      <c r="K6" s="371" t="s">
        <v>63</v>
      </c>
      <c r="L6" s="368" t="s">
        <v>64</v>
      </c>
      <c r="M6" s="368"/>
      <c r="N6" s="368"/>
      <c r="O6" s="362" t="s">
        <v>65</v>
      </c>
      <c r="P6" s="362" t="s">
        <v>66</v>
      </c>
      <c r="Q6" s="362" t="s">
        <v>67</v>
      </c>
      <c r="R6" s="362" t="s">
        <v>68</v>
      </c>
      <c r="S6" s="362" t="s">
        <v>69</v>
      </c>
      <c r="T6" s="365" t="s">
        <v>0</v>
      </c>
    </row>
    <row r="7" spans="1:20" s="107" customFormat="1" ht="38.25" customHeight="1">
      <c r="A7" s="369"/>
      <c r="B7" s="365"/>
      <c r="C7" s="363"/>
      <c r="D7" s="363"/>
      <c r="E7" s="365"/>
      <c r="F7" s="365"/>
      <c r="G7" s="365" t="s">
        <v>70</v>
      </c>
      <c r="H7" s="365" t="s">
        <v>71</v>
      </c>
      <c r="I7" s="362" t="s">
        <v>72</v>
      </c>
      <c r="J7" s="370"/>
      <c r="K7" s="371"/>
      <c r="L7" s="365" t="s">
        <v>73</v>
      </c>
      <c r="M7" s="362" t="s">
        <v>74</v>
      </c>
      <c r="N7" s="362" t="s">
        <v>75</v>
      </c>
      <c r="O7" s="363"/>
      <c r="P7" s="363"/>
      <c r="Q7" s="363"/>
      <c r="R7" s="363"/>
      <c r="S7" s="363"/>
      <c r="T7" s="365"/>
    </row>
    <row r="8" spans="1:20" s="107" customFormat="1" ht="63" customHeight="1">
      <c r="A8" s="369"/>
      <c r="B8" s="365"/>
      <c r="C8" s="364"/>
      <c r="D8" s="364"/>
      <c r="E8" s="365"/>
      <c r="F8" s="365"/>
      <c r="G8" s="365"/>
      <c r="H8" s="365"/>
      <c r="I8" s="364"/>
      <c r="J8" s="370"/>
      <c r="K8" s="371"/>
      <c r="L8" s="366"/>
      <c r="M8" s="364"/>
      <c r="N8" s="364"/>
      <c r="O8" s="364"/>
      <c r="P8" s="364"/>
      <c r="Q8" s="364"/>
      <c r="R8" s="364"/>
      <c r="S8" s="364"/>
      <c r="T8" s="365"/>
    </row>
    <row r="9" spans="1:20" s="113" customFormat="1" ht="36" customHeight="1">
      <c r="A9" s="108">
        <v>0</v>
      </c>
      <c r="B9" s="109">
        <v>1</v>
      </c>
      <c r="C9" s="109">
        <v>2</v>
      </c>
      <c r="D9" s="109">
        <v>3</v>
      </c>
      <c r="E9" s="110">
        <v>4</v>
      </c>
      <c r="F9" s="109">
        <v>5</v>
      </c>
      <c r="G9" s="110">
        <v>6</v>
      </c>
      <c r="H9" s="110">
        <v>7</v>
      </c>
      <c r="I9" s="110">
        <v>8</v>
      </c>
      <c r="J9" s="111" t="s">
        <v>76</v>
      </c>
      <c r="K9" s="112">
        <v>10</v>
      </c>
      <c r="L9" s="110">
        <v>11</v>
      </c>
      <c r="M9" s="110">
        <v>12</v>
      </c>
      <c r="N9" s="110">
        <v>13</v>
      </c>
      <c r="O9" s="109" t="s">
        <v>77</v>
      </c>
      <c r="P9" s="110">
        <v>15</v>
      </c>
      <c r="Q9" s="110">
        <v>16</v>
      </c>
      <c r="R9" s="110" t="s">
        <v>78</v>
      </c>
      <c r="S9" s="110">
        <v>18</v>
      </c>
      <c r="T9" s="110">
        <v>19</v>
      </c>
    </row>
    <row r="10" spans="1:20" s="113" customFormat="1" ht="51.75" customHeight="1">
      <c r="A10" s="352" t="s">
        <v>23</v>
      </c>
      <c r="B10" s="353"/>
      <c r="C10" s="353"/>
      <c r="D10" s="353"/>
      <c r="E10" s="354"/>
      <c r="F10" s="109" t="s">
        <v>79</v>
      </c>
      <c r="G10" s="110"/>
      <c r="H10" s="110"/>
      <c r="I10" s="110"/>
      <c r="J10" s="111"/>
      <c r="K10" s="114"/>
      <c r="L10" s="114">
        <f>SUM(L11:L12)</f>
        <v>2000000</v>
      </c>
      <c r="M10" s="114">
        <f>SUM(M11:M12)</f>
        <v>2000000</v>
      </c>
      <c r="N10" s="114">
        <f>SUM(N11:N12)</f>
        <v>1500000</v>
      </c>
      <c r="O10" s="114">
        <f>SUM(O11:O12)</f>
        <v>9330000</v>
      </c>
      <c r="P10" s="114">
        <f>SUM(P11:P12)</f>
        <v>1</v>
      </c>
      <c r="Q10" s="114"/>
      <c r="R10" s="114">
        <f>SUM(R11:R12)</f>
        <v>11330000</v>
      </c>
      <c r="S10" s="114">
        <f>SUM(S11:S12)</f>
        <v>11330000</v>
      </c>
      <c r="T10" s="110"/>
    </row>
    <row r="11" spans="1:20" s="131" customFormat="1" ht="87" customHeight="1">
      <c r="A11" s="163">
        <v>1</v>
      </c>
      <c r="B11" s="172" t="s">
        <v>255</v>
      </c>
      <c r="C11" s="164"/>
      <c r="D11" s="164"/>
      <c r="E11" s="163">
        <v>4</v>
      </c>
      <c r="F11" s="173" t="str">
        <f>'[1]Sheet3'!A6</f>
        <v>Mộ đã cải táng, mộ xây gạch, trát xung quanh vữa mác 25 đến 50, quét vôi ve xi măng, sơn,trên 500 viên , DTCĐ từ  2m2  -:- 2,5m2</v>
      </c>
      <c r="G11" s="355" t="s">
        <v>80</v>
      </c>
      <c r="H11" s="356"/>
      <c r="I11" s="357"/>
      <c r="J11" s="174">
        <f>1.6/2*1.6/2*3.14</f>
        <v>2.0096000000000003</v>
      </c>
      <c r="K11" s="175">
        <f>VLOOKUP(F11,'[1]Sheet3'!A:B,2,0)</f>
        <v>3830000</v>
      </c>
      <c r="L11" s="175">
        <v>2000000</v>
      </c>
      <c r="M11" s="175">
        <v>2000000</v>
      </c>
      <c r="N11" s="175">
        <v>1500000</v>
      </c>
      <c r="O11" s="175">
        <f>K11+L11+M11+N11</f>
        <v>9330000</v>
      </c>
      <c r="P11" s="175">
        <v>1</v>
      </c>
      <c r="Q11" s="176">
        <v>1</v>
      </c>
      <c r="R11" s="175">
        <f>O11*P11*Q11</f>
        <v>9330000</v>
      </c>
      <c r="S11" s="177">
        <f>R11</f>
        <v>9330000</v>
      </c>
      <c r="T11" s="163"/>
    </row>
    <row r="12" spans="1:20" s="131" customFormat="1" ht="87" customHeight="1">
      <c r="A12" s="131">
        <v>2</v>
      </c>
      <c r="B12" s="359" t="s">
        <v>248</v>
      </c>
      <c r="C12" s="360"/>
      <c r="D12" s="360"/>
      <c r="E12" s="360"/>
      <c r="F12" s="361"/>
      <c r="G12" s="178"/>
      <c r="H12" s="178"/>
      <c r="I12" s="178"/>
      <c r="J12" s="174"/>
      <c r="K12" s="175"/>
      <c r="L12" s="175"/>
      <c r="M12" s="175"/>
      <c r="N12" s="175"/>
      <c r="O12" s="175"/>
      <c r="P12" s="179"/>
      <c r="Q12" s="176"/>
      <c r="R12" s="175">
        <f>P10*2000000</f>
        <v>2000000</v>
      </c>
      <c r="S12" s="177">
        <f>R12</f>
        <v>2000000</v>
      </c>
      <c r="T12" s="163"/>
    </row>
    <row r="13" spans="1:20" s="115" customFormat="1" ht="21" customHeight="1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</row>
    <row r="14" spans="1:20" s="119" customFormat="1" ht="22.5" customHeight="1">
      <c r="A14" s="351"/>
      <c r="B14" s="351"/>
      <c r="C14" s="351"/>
      <c r="D14" s="351"/>
      <c r="E14" s="351"/>
      <c r="F14" s="351"/>
      <c r="G14" s="116"/>
      <c r="H14" s="117"/>
      <c r="I14" s="118"/>
      <c r="J14" s="351" t="s">
        <v>281</v>
      </c>
      <c r="K14" s="351"/>
      <c r="L14" s="351"/>
      <c r="M14" s="351"/>
      <c r="N14" s="351"/>
      <c r="O14" s="351"/>
      <c r="P14" s="351"/>
      <c r="Q14" s="351"/>
      <c r="R14" s="351"/>
      <c r="S14" s="351"/>
      <c r="T14" s="351"/>
    </row>
    <row r="15" spans="1:20" s="119" customFormat="1" ht="22.5" customHeight="1">
      <c r="A15" s="351"/>
      <c r="B15" s="351"/>
      <c r="C15" s="351"/>
      <c r="D15" s="351"/>
      <c r="E15" s="351"/>
      <c r="F15" s="351"/>
      <c r="G15" s="120"/>
      <c r="H15" s="118"/>
      <c r="I15" s="118"/>
      <c r="J15" s="351" t="s">
        <v>282</v>
      </c>
      <c r="K15" s="351"/>
      <c r="L15" s="351"/>
      <c r="M15" s="351"/>
      <c r="N15" s="351"/>
      <c r="O15" s="351"/>
      <c r="P15" s="351"/>
      <c r="Q15" s="351"/>
      <c r="R15" s="351"/>
      <c r="S15" s="351"/>
      <c r="T15" s="351"/>
    </row>
    <row r="16" spans="1:20" s="119" customFormat="1" ht="15" customHeight="1" hidden="1">
      <c r="A16" s="118"/>
      <c r="B16" s="121"/>
      <c r="C16" s="122"/>
      <c r="D16" s="122"/>
      <c r="E16" s="118"/>
      <c r="F16" s="122"/>
      <c r="G16" s="120"/>
      <c r="H16" s="118"/>
      <c r="I16" s="118"/>
      <c r="J16" s="123"/>
      <c r="K16" s="124"/>
      <c r="L16" s="118"/>
      <c r="M16" s="118"/>
      <c r="N16" s="118"/>
      <c r="O16" s="118"/>
      <c r="P16" s="116"/>
      <c r="Q16" s="116"/>
      <c r="R16" s="118"/>
      <c r="S16" s="116"/>
      <c r="T16" s="118"/>
    </row>
    <row r="17" spans="1:20" s="119" customFormat="1" ht="15" customHeight="1" hidden="1">
      <c r="A17" s="118"/>
      <c r="B17" s="121"/>
      <c r="C17" s="122"/>
      <c r="D17" s="122"/>
      <c r="E17" s="118"/>
      <c r="F17" s="122"/>
      <c r="G17" s="120"/>
      <c r="H17" s="118"/>
      <c r="I17" s="118"/>
      <c r="J17" s="123"/>
      <c r="K17" s="124"/>
      <c r="L17" s="125"/>
      <c r="M17" s="124"/>
      <c r="N17" s="118"/>
      <c r="O17" s="118"/>
      <c r="P17" s="116"/>
      <c r="Q17" s="116"/>
      <c r="R17" s="118"/>
      <c r="S17" s="116"/>
      <c r="T17" s="118"/>
    </row>
    <row r="18" spans="1:20" s="119" customFormat="1" ht="15" customHeight="1" hidden="1">
      <c r="A18" s="118"/>
      <c r="B18" s="121"/>
      <c r="C18" s="122"/>
      <c r="D18" s="122"/>
      <c r="E18" s="118"/>
      <c r="F18" s="122"/>
      <c r="G18" s="120"/>
      <c r="H18" s="118"/>
      <c r="I18" s="118"/>
      <c r="J18" s="123"/>
      <c r="K18" s="124"/>
      <c r="L18" s="118"/>
      <c r="M18" s="118"/>
      <c r="N18" s="118"/>
      <c r="O18" s="118"/>
      <c r="P18" s="116"/>
      <c r="Q18" s="116"/>
      <c r="R18" s="118"/>
      <c r="S18" s="116"/>
      <c r="T18" s="118"/>
    </row>
    <row r="19" spans="1:20" s="119" customFormat="1" ht="15" customHeight="1" hidden="1">
      <c r="A19" s="118"/>
      <c r="B19" s="121"/>
      <c r="C19" s="122"/>
      <c r="D19" s="122"/>
      <c r="E19" s="118"/>
      <c r="F19" s="122"/>
      <c r="G19" s="120"/>
      <c r="H19" s="118"/>
      <c r="I19" s="118"/>
      <c r="J19" s="123"/>
      <c r="K19" s="124"/>
      <c r="L19" s="118"/>
      <c r="M19" s="118"/>
      <c r="N19" s="118"/>
      <c r="O19" s="118"/>
      <c r="P19" s="116"/>
      <c r="Q19" s="116"/>
      <c r="R19" s="118"/>
      <c r="S19" s="116"/>
      <c r="T19" s="118"/>
    </row>
    <row r="20" spans="1:20" s="119" customFormat="1" ht="15" customHeight="1" hidden="1">
      <c r="A20" s="118"/>
      <c r="B20" s="121"/>
      <c r="C20" s="122"/>
      <c r="D20" s="122"/>
      <c r="E20" s="118"/>
      <c r="F20" s="122"/>
      <c r="G20" s="120"/>
      <c r="H20" s="118"/>
      <c r="I20" s="118"/>
      <c r="J20" s="123"/>
      <c r="K20" s="124"/>
      <c r="L20" s="118"/>
      <c r="M20" s="118"/>
      <c r="N20" s="118"/>
      <c r="O20" s="118"/>
      <c r="P20" s="116"/>
      <c r="Q20" s="116"/>
      <c r="R20" s="118"/>
      <c r="S20" s="116"/>
      <c r="T20" s="118"/>
    </row>
    <row r="21" spans="1:20" s="119" customFormat="1" ht="15" customHeight="1" hidden="1">
      <c r="A21" s="351" t="s">
        <v>81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117"/>
      <c r="M21" s="351" t="s">
        <v>19</v>
      </c>
      <c r="N21" s="351"/>
      <c r="O21" s="351"/>
      <c r="P21" s="351"/>
      <c r="Q21" s="351"/>
      <c r="R21" s="351"/>
      <c r="S21" s="351"/>
      <c r="T21" s="351"/>
    </row>
    <row r="22" spans="1:20" s="119" customFormat="1" ht="15" customHeight="1" hidden="1">
      <c r="A22" s="118"/>
      <c r="B22" s="121"/>
      <c r="C22" s="122"/>
      <c r="D22" s="122"/>
      <c r="E22" s="118"/>
      <c r="F22" s="122"/>
      <c r="G22" s="120"/>
      <c r="H22" s="118"/>
      <c r="I22" s="118"/>
      <c r="J22" s="123"/>
      <c r="K22" s="124"/>
      <c r="L22" s="118"/>
      <c r="M22" s="118"/>
      <c r="N22" s="118"/>
      <c r="O22" s="118"/>
      <c r="P22" s="116"/>
      <c r="Q22" s="116"/>
      <c r="R22" s="118"/>
      <c r="S22" s="116"/>
      <c r="T22" s="118"/>
    </row>
    <row r="23" spans="1:20" s="119" customFormat="1" ht="15" customHeight="1" hidden="1">
      <c r="A23" s="118"/>
      <c r="B23" s="121"/>
      <c r="C23" s="122"/>
      <c r="D23" s="122"/>
      <c r="E23" s="118"/>
      <c r="F23" s="122"/>
      <c r="G23" s="120"/>
      <c r="H23" s="118"/>
      <c r="I23" s="118"/>
      <c r="J23" s="123"/>
      <c r="K23" s="124"/>
      <c r="L23" s="118"/>
      <c r="M23" s="118"/>
      <c r="N23" s="118"/>
      <c r="O23" s="118"/>
      <c r="P23" s="116"/>
      <c r="Q23" s="116"/>
      <c r="R23" s="118"/>
      <c r="S23" s="116"/>
      <c r="T23" s="118"/>
    </row>
    <row r="24" spans="1:20" s="119" customFormat="1" ht="15" customHeight="1" hidden="1">
      <c r="A24" s="118"/>
      <c r="B24" s="121"/>
      <c r="C24" s="122"/>
      <c r="D24" s="122"/>
      <c r="E24" s="118"/>
      <c r="F24" s="122"/>
      <c r="G24" s="120"/>
      <c r="H24" s="118"/>
      <c r="I24" s="118"/>
      <c r="J24" s="123"/>
      <c r="K24" s="124"/>
      <c r="L24" s="118"/>
      <c r="M24" s="118"/>
      <c r="N24" s="118"/>
      <c r="O24" s="118"/>
      <c r="P24" s="116"/>
      <c r="Q24" s="116"/>
      <c r="R24" s="118"/>
      <c r="S24" s="116"/>
      <c r="T24" s="118"/>
    </row>
    <row r="25" spans="1:20" s="119" customFormat="1" ht="15" customHeight="1" hidden="1">
      <c r="A25" s="118"/>
      <c r="B25" s="121"/>
      <c r="C25" s="122"/>
      <c r="D25" s="122"/>
      <c r="E25" s="118"/>
      <c r="F25" s="122"/>
      <c r="G25" s="120"/>
      <c r="H25" s="118"/>
      <c r="I25" s="118"/>
      <c r="J25" s="123"/>
      <c r="K25" s="124"/>
      <c r="L25" s="118"/>
      <c r="M25" s="118"/>
      <c r="N25" s="118"/>
      <c r="O25" s="118"/>
      <c r="P25" s="116"/>
      <c r="Q25" s="116"/>
      <c r="R25" s="118"/>
      <c r="S25" s="116"/>
      <c r="T25" s="118"/>
    </row>
    <row r="26" spans="1:20" s="119" customFormat="1" ht="15" customHeight="1" hidden="1">
      <c r="A26" s="118"/>
      <c r="B26" s="121"/>
      <c r="C26" s="122"/>
      <c r="D26" s="122"/>
      <c r="E26" s="118"/>
      <c r="F26" s="126"/>
      <c r="G26" s="120"/>
      <c r="H26" s="118"/>
      <c r="I26" s="118"/>
      <c r="J26" s="123"/>
      <c r="K26" s="124"/>
      <c r="L26" s="118"/>
      <c r="M26" s="118"/>
      <c r="N26" s="118"/>
      <c r="O26" s="118"/>
      <c r="P26" s="116"/>
      <c r="Q26" s="116"/>
      <c r="R26" s="118"/>
      <c r="S26" s="116"/>
      <c r="T26" s="118"/>
    </row>
    <row r="27" spans="1:20" s="119" customFormat="1" ht="15" customHeight="1" hidden="1">
      <c r="A27" s="118"/>
      <c r="B27" s="121"/>
      <c r="C27" s="122"/>
      <c r="D27" s="122"/>
      <c r="E27" s="118"/>
      <c r="F27" s="122"/>
      <c r="G27" s="120"/>
      <c r="H27" s="118"/>
      <c r="I27" s="118"/>
      <c r="J27" s="123"/>
      <c r="K27" s="124"/>
      <c r="L27" s="118"/>
      <c r="M27" s="118"/>
      <c r="N27" s="118"/>
      <c r="O27" s="118"/>
      <c r="P27" s="116"/>
      <c r="Q27" s="116"/>
      <c r="R27" s="118"/>
      <c r="S27" s="116"/>
      <c r="T27" s="118"/>
    </row>
    <row r="28" spans="1:20" s="119" customFormat="1" ht="15" customHeight="1" hidden="1">
      <c r="A28" s="118"/>
      <c r="B28" s="121"/>
      <c r="C28" s="122"/>
      <c r="D28" s="122"/>
      <c r="E28" s="118"/>
      <c r="F28" s="122"/>
      <c r="G28" s="120"/>
      <c r="H28" s="118"/>
      <c r="I28" s="118"/>
      <c r="J28" s="123"/>
      <c r="K28" s="124"/>
      <c r="L28" s="118"/>
      <c r="M28" s="118"/>
      <c r="N28" s="118"/>
      <c r="O28" s="118"/>
      <c r="P28" s="116"/>
      <c r="Q28" s="116"/>
      <c r="R28" s="118"/>
      <c r="S28" s="116"/>
      <c r="T28" s="118"/>
    </row>
    <row r="29" spans="1:20" s="119" customFormat="1" ht="18.75" customHeight="1" hidden="1">
      <c r="A29" s="351" t="s">
        <v>82</v>
      </c>
      <c r="B29" s="351"/>
      <c r="C29" s="351"/>
      <c r="D29" s="351"/>
      <c r="E29" s="351"/>
      <c r="F29" s="351"/>
      <c r="G29" s="351"/>
      <c r="H29" s="351"/>
      <c r="I29" s="118"/>
      <c r="J29" s="123"/>
      <c r="K29" s="124"/>
      <c r="L29" s="118"/>
      <c r="M29" s="351" t="s">
        <v>19</v>
      </c>
      <c r="N29" s="351"/>
      <c r="O29" s="351"/>
      <c r="P29" s="351"/>
      <c r="Q29" s="351"/>
      <c r="R29" s="351"/>
      <c r="S29" s="351"/>
      <c r="T29" s="351"/>
    </row>
    <row r="30" spans="1:20" s="119" customFormat="1" ht="15" customHeight="1" hidden="1">
      <c r="A30" s="118"/>
      <c r="B30" s="121"/>
      <c r="C30" s="122"/>
      <c r="D30" s="122"/>
      <c r="E30" s="118"/>
      <c r="F30" s="122"/>
      <c r="G30" s="120"/>
      <c r="H30" s="118"/>
      <c r="I30" s="118"/>
      <c r="J30" s="123"/>
      <c r="K30" s="124"/>
      <c r="L30" s="118"/>
      <c r="M30" s="118"/>
      <c r="N30" s="118"/>
      <c r="O30" s="118"/>
      <c r="P30" s="116"/>
      <c r="Q30" s="116"/>
      <c r="R30" s="118"/>
      <c r="S30" s="116"/>
      <c r="T30" s="118"/>
    </row>
    <row r="31" spans="1:20" s="119" customFormat="1" ht="15" customHeight="1" hidden="1">
      <c r="A31" s="118"/>
      <c r="B31" s="121"/>
      <c r="C31" s="122"/>
      <c r="D31" s="122"/>
      <c r="E31" s="118"/>
      <c r="F31" s="122"/>
      <c r="G31" s="120"/>
      <c r="H31" s="118"/>
      <c r="I31" s="118"/>
      <c r="J31" s="123"/>
      <c r="K31" s="124"/>
      <c r="L31" s="118"/>
      <c r="M31" s="118"/>
      <c r="N31" s="118"/>
      <c r="O31" s="118"/>
      <c r="P31" s="116"/>
      <c r="Q31" s="116"/>
      <c r="R31" s="118"/>
      <c r="S31" s="116"/>
      <c r="T31" s="118"/>
    </row>
    <row r="32" spans="1:20" s="119" customFormat="1" ht="23.25">
      <c r="A32" s="118"/>
      <c r="B32" s="121"/>
      <c r="C32" s="122"/>
      <c r="D32" s="122"/>
      <c r="E32" s="118"/>
      <c r="F32" s="122"/>
      <c r="G32" s="120"/>
      <c r="H32" s="118"/>
      <c r="I32" s="118"/>
      <c r="J32" s="123"/>
      <c r="K32" s="124"/>
      <c r="L32" s="118"/>
      <c r="M32" s="118"/>
      <c r="N32" s="118"/>
      <c r="O32" s="118"/>
      <c r="P32" s="116"/>
      <c r="Q32" s="116"/>
      <c r="R32" s="118"/>
      <c r="S32" s="116"/>
      <c r="T32" s="118"/>
    </row>
    <row r="33" spans="1:20" s="119" customFormat="1" ht="23.25">
      <c r="A33" s="118"/>
      <c r="B33" s="121"/>
      <c r="C33" s="122"/>
      <c r="D33" s="122"/>
      <c r="E33" s="118"/>
      <c r="F33" s="122"/>
      <c r="G33" s="120"/>
      <c r="H33" s="118"/>
      <c r="I33" s="118"/>
      <c r="J33" s="123"/>
      <c r="K33" s="124"/>
      <c r="L33" s="118"/>
      <c r="M33" s="118"/>
      <c r="N33" s="118"/>
      <c r="O33" s="118"/>
      <c r="P33" s="116"/>
      <c r="Q33" s="116"/>
      <c r="R33" s="118"/>
      <c r="S33" s="116"/>
      <c r="T33" s="118"/>
    </row>
    <row r="34" spans="1:20" s="119" customFormat="1" ht="23.25">
      <c r="A34" s="118"/>
      <c r="B34" s="121"/>
      <c r="C34" s="122"/>
      <c r="D34" s="122"/>
      <c r="E34" s="118"/>
      <c r="F34" s="122"/>
      <c r="G34" s="120"/>
      <c r="H34" s="118"/>
      <c r="I34" s="118"/>
      <c r="J34" s="123"/>
      <c r="K34" s="124"/>
      <c r="L34" s="118"/>
      <c r="M34" s="118"/>
      <c r="N34" s="118"/>
      <c r="O34" s="118"/>
      <c r="P34" s="116"/>
      <c r="Q34" s="116"/>
      <c r="R34" s="118"/>
      <c r="S34" s="116"/>
      <c r="T34" s="118"/>
    </row>
    <row r="35" spans="1:20" s="119" customFormat="1" ht="23.25">
      <c r="A35" s="118"/>
      <c r="B35" s="121"/>
      <c r="C35" s="122"/>
      <c r="D35" s="122"/>
      <c r="E35" s="118"/>
      <c r="F35" s="122"/>
      <c r="G35" s="120"/>
      <c r="H35" s="118"/>
      <c r="I35" s="118"/>
      <c r="J35" s="123"/>
      <c r="K35" s="124"/>
      <c r="L35" s="118"/>
      <c r="M35" s="118"/>
      <c r="N35" s="118"/>
      <c r="O35" s="118"/>
      <c r="P35" s="116"/>
      <c r="Q35" s="116"/>
      <c r="R35" s="118"/>
      <c r="S35" s="116"/>
      <c r="T35" s="118"/>
    </row>
    <row r="36" spans="1:20" s="119" customFormat="1" ht="23.25">
      <c r="A36" s="127"/>
      <c r="B36" s="127"/>
      <c r="C36" s="118"/>
      <c r="D36" s="118"/>
      <c r="E36" s="127"/>
      <c r="F36" s="118"/>
      <c r="G36" s="120"/>
      <c r="H36" s="118"/>
      <c r="I36" s="118"/>
      <c r="J36" s="123"/>
      <c r="K36" s="124"/>
      <c r="L36" s="118"/>
      <c r="M36" s="118"/>
      <c r="N36" s="118"/>
      <c r="O36" s="118"/>
      <c r="P36" s="116"/>
      <c r="Q36" s="116"/>
      <c r="R36" s="118"/>
      <c r="S36" s="116"/>
      <c r="T36" s="118"/>
    </row>
    <row r="37" spans="1:20" s="115" customFormat="1" ht="30.75" customHeight="1">
      <c r="A37" s="348"/>
      <c r="B37" s="348"/>
      <c r="C37" s="348"/>
      <c r="D37" s="348"/>
      <c r="E37" s="348"/>
      <c r="F37" s="348"/>
      <c r="G37" s="120"/>
      <c r="H37" s="120"/>
      <c r="I37" s="120"/>
      <c r="J37" s="349" t="s">
        <v>283</v>
      </c>
      <c r="K37" s="349"/>
      <c r="L37" s="349"/>
      <c r="M37" s="349"/>
      <c r="N37" s="349"/>
      <c r="O37" s="349"/>
      <c r="P37" s="349"/>
      <c r="Q37" s="349"/>
      <c r="R37" s="349"/>
      <c r="S37" s="349"/>
      <c r="T37" s="349"/>
    </row>
    <row r="38" spans="1:20" s="119" customFormat="1" ht="18.75">
      <c r="A38" s="128"/>
      <c r="B38" s="129"/>
      <c r="C38" s="130"/>
      <c r="D38" s="130"/>
      <c r="E38" s="128"/>
      <c r="F38" s="130"/>
      <c r="G38" s="131"/>
      <c r="H38" s="128"/>
      <c r="I38" s="128"/>
      <c r="J38" s="132"/>
      <c r="K38" s="133"/>
      <c r="L38" s="128"/>
      <c r="M38" s="128"/>
      <c r="N38" s="128"/>
      <c r="O38" s="128"/>
      <c r="P38" s="134"/>
      <c r="Q38" s="134"/>
      <c r="R38" s="128"/>
      <c r="S38" s="134"/>
      <c r="T38" s="128"/>
    </row>
    <row r="39" spans="1:20" s="119" customFormat="1" ht="18.75">
      <c r="A39" s="128"/>
      <c r="B39" s="129"/>
      <c r="C39" s="130"/>
      <c r="D39" s="130"/>
      <c r="E39" s="128"/>
      <c r="F39" s="130"/>
      <c r="G39" s="131"/>
      <c r="H39" s="128"/>
      <c r="I39" s="128"/>
      <c r="J39" s="132"/>
      <c r="K39" s="133"/>
      <c r="L39" s="128"/>
      <c r="M39" s="128"/>
      <c r="N39" s="128"/>
      <c r="O39" s="128"/>
      <c r="P39" s="134"/>
      <c r="Q39" s="134"/>
      <c r="R39" s="128"/>
      <c r="S39" s="134"/>
      <c r="T39" s="128"/>
    </row>
    <row r="40" spans="1:20" s="136" customFormat="1" ht="18.75">
      <c r="A40" s="350"/>
      <c r="B40" s="350"/>
      <c r="C40" s="350"/>
      <c r="D40" s="350"/>
      <c r="E40" s="350"/>
      <c r="F40" s="350"/>
      <c r="G40" s="134"/>
      <c r="H40" s="135"/>
      <c r="I40" s="135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</row>
    <row r="41" spans="1:20" s="119" customFormat="1" ht="18.75">
      <c r="A41" s="128"/>
      <c r="B41" s="129"/>
      <c r="C41" s="130"/>
      <c r="D41" s="130"/>
      <c r="E41" s="128"/>
      <c r="F41" s="130"/>
      <c r="G41" s="131"/>
      <c r="H41" s="128"/>
      <c r="I41" s="128"/>
      <c r="J41" s="132"/>
      <c r="K41" s="133"/>
      <c r="L41" s="128"/>
      <c r="M41" s="128"/>
      <c r="N41" s="128"/>
      <c r="O41" s="128"/>
      <c r="P41" s="134"/>
      <c r="Q41" s="134"/>
      <c r="R41" s="128"/>
      <c r="S41" s="134"/>
      <c r="T41" s="128"/>
    </row>
    <row r="42" spans="1:20" s="119" customFormat="1" ht="18.75">
      <c r="A42" s="128"/>
      <c r="B42" s="129"/>
      <c r="C42" s="130"/>
      <c r="D42" s="130"/>
      <c r="E42" s="128"/>
      <c r="F42" s="130"/>
      <c r="G42" s="131"/>
      <c r="H42" s="128"/>
      <c r="I42" s="128"/>
      <c r="J42" s="132"/>
      <c r="K42" s="133"/>
      <c r="L42" s="128"/>
      <c r="M42" s="128"/>
      <c r="N42" s="128"/>
      <c r="O42" s="128"/>
      <c r="P42" s="134"/>
      <c r="Q42" s="134"/>
      <c r="R42" s="128"/>
      <c r="S42" s="134"/>
      <c r="T42" s="128"/>
    </row>
    <row r="43" spans="1:20" s="119" customFormat="1" ht="18.75">
      <c r="A43" s="128"/>
      <c r="B43" s="129"/>
      <c r="C43" s="130"/>
      <c r="D43" s="130"/>
      <c r="E43" s="128"/>
      <c r="F43" s="130"/>
      <c r="G43" s="131"/>
      <c r="H43" s="128"/>
      <c r="I43" s="128"/>
      <c r="J43" s="132"/>
      <c r="K43" s="133"/>
      <c r="L43" s="128"/>
      <c r="M43" s="128"/>
      <c r="N43" s="128"/>
      <c r="O43" s="128"/>
      <c r="P43" s="134"/>
      <c r="Q43" s="134"/>
      <c r="R43" s="128"/>
      <c r="S43" s="134"/>
      <c r="T43" s="128"/>
    </row>
    <row r="44" spans="1:20" ht="18.75">
      <c r="A44" s="137"/>
      <c r="B44" s="138"/>
      <c r="C44" s="139"/>
      <c r="D44" s="139"/>
      <c r="E44" s="137"/>
      <c r="F44" s="139"/>
      <c r="G44" s="107"/>
      <c r="H44" s="137"/>
      <c r="I44" s="137"/>
      <c r="J44" s="140"/>
      <c r="K44" s="141"/>
      <c r="L44" s="137"/>
      <c r="M44" s="137"/>
      <c r="N44" s="137"/>
      <c r="O44" s="137"/>
      <c r="P44" s="104"/>
      <c r="Q44" s="104"/>
      <c r="R44" s="137"/>
      <c r="S44" s="104"/>
      <c r="T44" s="137"/>
    </row>
    <row r="45" spans="1:20" ht="18.75">
      <c r="A45" s="137"/>
      <c r="B45" s="138"/>
      <c r="C45" s="139"/>
      <c r="D45" s="139"/>
      <c r="E45" s="137"/>
      <c r="F45" s="139"/>
      <c r="G45" s="107"/>
      <c r="H45" s="137"/>
      <c r="I45" s="137"/>
      <c r="J45" s="140"/>
      <c r="K45" s="141"/>
      <c r="L45" s="137"/>
      <c r="M45" s="137"/>
      <c r="N45" s="137"/>
      <c r="O45" s="137"/>
      <c r="P45" s="104"/>
      <c r="Q45" s="104"/>
      <c r="R45" s="137"/>
      <c r="S45" s="104"/>
      <c r="T45" s="137"/>
    </row>
    <row r="46" spans="1:20" ht="18.75">
      <c r="A46" s="137"/>
      <c r="B46" s="138"/>
      <c r="C46" s="139"/>
      <c r="D46" s="139"/>
      <c r="E46" s="137"/>
      <c r="F46" s="139"/>
      <c r="G46" s="107"/>
      <c r="H46" s="137"/>
      <c r="I46" s="137"/>
      <c r="J46" s="140"/>
      <c r="K46" s="141"/>
      <c r="L46" s="137"/>
      <c r="M46" s="137"/>
      <c r="N46" s="137"/>
      <c r="O46" s="137"/>
      <c r="P46" s="104"/>
      <c r="Q46" s="104"/>
      <c r="R46" s="137"/>
      <c r="S46" s="104"/>
      <c r="T46" s="137"/>
    </row>
    <row r="47" spans="1:20" ht="18.75">
      <c r="A47" s="137"/>
      <c r="B47" s="138"/>
      <c r="C47" s="139"/>
      <c r="D47" s="139"/>
      <c r="E47" s="137"/>
      <c r="F47" s="139"/>
      <c r="G47" s="107"/>
      <c r="H47" s="137"/>
      <c r="I47" s="137"/>
      <c r="J47" s="140"/>
      <c r="K47" s="141"/>
      <c r="L47" s="137"/>
      <c r="M47" s="137"/>
      <c r="N47" s="137"/>
      <c r="O47" s="137"/>
      <c r="P47" s="104"/>
      <c r="Q47" s="104"/>
      <c r="R47" s="137"/>
      <c r="S47" s="104"/>
      <c r="T47" s="137"/>
    </row>
    <row r="48" spans="1:20" ht="18.75">
      <c r="A48" s="137"/>
      <c r="B48" s="138"/>
      <c r="C48" s="139"/>
      <c r="D48" s="139"/>
      <c r="E48" s="137"/>
      <c r="F48" s="139"/>
      <c r="G48" s="107"/>
      <c r="H48" s="137"/>
      <c r="I48" s="137"/>
      <c r="J48" s="140"/>
      <c r="K48" s="141"/>
      <c r="L48" s="137"/>
      <c r="M48" s="137"/>
      <c r="N48" s="137"/>
      <c r="O48" s="137"/>
      <c r="P48" s="104"/>
      <c r="Q48" s="104"/>
      <c r="R48" s="137"/>
      <c r="S48" s="104"/>
      <c r="T48" s="137"/>
    </row>
    <row r="49" spans="1:20" ht="18.75">
      <c r="A49" s="137"/>
      <c r="B49" s="138"/>
      <c r="C49" s="139"/>
      <c r="D49" s="139"/>
      <c r="E49" s="137"/>
      <c r="F49" s="139"/>
      <c r="G49" s="107"/>
      <c r="H49" s="137"/>
      <c r="I49" s="137"/>
      <c r="J49" s="140"/>
      <c r="K49" s="141"/>
      <c r="L49" s="137"/>
      <c r="M49" s="137"/>
      <c r="N49" s="137"/>
      <c r="O49" s="137"/>
      <c r="P49" s="104"/>
      <c r="Q49" s="104"/>
      <c r="R49" s="137"/>
      <c r="S49" s="104"/>
      <c r="T49" s="137"/>
    </row>
    <row r="50" spans="1:20" ht="18.75">
      <c r="A50" s="137"/>
      <c r="B50" s="138"/>
      <c r="C50" s="139"/>
      <c r="D50" s="139"/>
      <c r="E50" s="137"/>
      <c r="F50" s="139"/>
      <c r="G50" s="107"/>
      <c r="H50" s="137"/>
      <c r="I50" s="137"/>
      <c r="J50" s="140"/>
      <c r="K50" s="141"/>
      <c r="L50" s="137"/>
      <c r="M50" s="137"/>
      <c r="N50" s="137"/>
      <c r="O50" s="137"/>
      <c r="P50" s="104"/>
      <c r="Q50" s="104"/>
      <c r="R50" s="137"/>
      <c r="S50" s="104"/>
      <c r="T50" s="137"/>
    </row>
    <row r="51" spans="1:20" ht="18.75">
      <c r="A51" s="137"/>
      <c r="B51" s="138"/>
      <c r="C51" s="139"/>
      <c r="D51" s="139"/>
      <c r="E51" s="137"/>
      <c r="F51" s="139"/>
      <c r="G51" s="107"/>
      <c r="H51" s="137"/>
      <c r="I51" s="137"/>
      <c r="J51" s="140"/>
      <c r="K51" s="141"/>
      <c r="L51" s="137"/>
      <c r="M51" s="137"/>
      <c r="N51" s="137"/>
      <c r="O51" s="137"/>
      <c r="P51" s="104"/>
      <c r="Q51" s="104"/>
      <c r="R51" s="137"/>
      <c r="S51" s="104"/>
      <c r="T51" s="137"/>
    </row>
    <row r="52" spans="1:20" ht="18.75">
      <c r="A52" s="137"/>
      <c r="B52" s="138"/>
      <c r="C52" s="139"/>
      <c r="D52" s="139"/>
      <c r="E52" s="137"/>
      <c r="F52" s="139"/>
      <c r="G52" s="107"/>
      <c r="H52" s="137"/>
      <c r="I52" s="137"/>
      <c r="J52" s="140"/>
      <c r="K52" s="141"/>
      <c r="L52" s="137"/>
      <c r="M52" s="137"/>
      <c r="N52" s="137"/>
      <c r="O52" s="137"/>
      <c r="P52" s="104"/>
      <c r="Q52" s="104"/>
      <c r="R52" s="137"/>
      <c r="S52" s="104"/>
      <c r="T52" s="137"/>
    </row>
    <row r="53" spans="1:20" ht="18.75">
      <c r="A53" s="137"/>
      <c r="B53" s="138"/>
      <c r="C53" s="139"/>
      <c r="D53" s="139"/>
      <c r="E53" s="137"/>
      <c r="F53" s="139"/>
      <c r="G53" s="107"/>
      <c r="H53" s="137"/>
      <c r="I53" s="137"/>
      <c r="J53" s="140"/>
      <c r="K53" s="141"/>
      <c r="L53" s="137"/>
      <c r="M53" s="137"/>
      <c r="N53" s="137"/>
      <c r="O53" s="137"/>
      <c r="P53" s="104"/>
      <c r="Q53" s="104"/>
      <c r="R53" s="137"/>
      <c r="S53" s="104"/>
      <c r="T53" s="137"/>
    </row>
    <row r="54" spans="1:20" ht="18.75">
      <c r="A54" s="137"/>
      <c r="B54" s="138"/>
      <c r="C54" s="139"/>
      <c r="D54" s="139"/>
      <c r="E54" s="137"/>
      <c r="F54" s="139"/>
      <c r="G54" s="107"/>
      <c r="H54" s="137"/>
      <c r="I54" s="137"/>
      <c r="J54" s="140"/>
      <c r="K54" s="141"/>
      <c r="L54" s="137"/>
      <c r="M54" s="137"/>
      <c r="N54" s="137"/>
      <c r="O54" s="137"/>
      <c r="P54" s="104"/>
      <c r="Q54" s="104"/>
      <c r="R54" s="137"/>
      <c r="S54" s="104"/>
      <c r="T54" s="137"/>
    </row>
    <row r="55" spans="1:20" ht="18.75">
      <c r="A55" s="137"/>
      <c r="B55" s="138"/>
      <c r="C55" s="139"/>
      <c r="D55" s="139"/>
      <c r="E55" s="137"/>
      <c r="F55" s="139"/>
      <c r="G55" s="107"/>
      <c r="H55" s="137"/>
      <c r="I55" s="137"/>
      <c r="J55" s="140"/>
      <c r="K55" s="141"/>
      <c r="L55" s="137"/>
      <c r="M55" s="137"/>
      <c r="N55" s="137"/>
      <c r="O55" s="137"/>
      <c r="P55" s="104"/>
      <c r="Q55" s="104"/>
      <c r="R55" s="137"/>
      <c r="S55" s="104"/>
      <c r="T55" s="137"/>
    </row>
    <row r="56" spans="1:20" ht="18.75">
      <c r="A56" s="137"/>
      <c r="B56" s="138"/>
      <c r="C56" s="139"/>
      <c r="D56" s="139"/>
      <c r="E56" s="137"/>
      <c r="F56" s="139"/>
      <c r="G56" s="107"/>
      <c r="H56" s="137"/>
      <c r="I56" s="137"/>
      <c r="J56" s="140"/>
      <c r="K56" s="141"/>
      <c r="L56" s="137"/>
      <c r="M56" s="137"/>
      <c r="N56" s="137"/>
      <c r="O56" s="137"/>
      <c r="P56" s="104"/>
      <c r="Q56" s="104"/>
      <c r="R56" s="137"/>
      <c r="S56" s="104"/>
      <c r="T56" s="137"/>
    </row>
    <row r="57" spans="1:20" ht="18.75">
      <c r="A57" s="137"/>
      <c r="B57" s="138"/>
      <c r="C57" s="139"/>
      <c r="D57" s="139"/>
      <c r="E57" s="137"/>
      <c r="F57" s="139"/>
      <c r="G57" s="107"/>
      <c r="H57" s="137"/>
      <c r="I57" s="137"/>
      <c r="J57" s="140"/>
      <c r="K57" s="141"/>
      <c r="L57" s="137"/>
      <c r="M57" s="137"/>
      <c r="N57" s="137"/>
      <c r="O57" s="137"/>
      <c r="P57" s="104"/>
      <c r="Q57" s="104"/>
      <c r="R57" s="137"/>
      <c r="S57" s="104"/>
      <c r="T57" s="137"/>
    </row>
    <row r="58" spans="1:20" ht="18.75">
      <c r="A58" s="137"/>
      <c r="B58" s="138"/>
      <c r="C58" s="139"/>
      <c r="D58" s="139"/>
      <c r="E58" s="137"/>
      <c r="F58" s="139"/>
      <c r="G58" s="107"/>
      <c r="H58" s="137"/>
      <c r="I58" s="137"/>
      <c r="J58" s="140"/>
      <c r="K58" s="141"/>
      <c r="L58" s="137"/>
      <c r="M58" s="137"/>
      <c r="N58" s="137"/>
      <c r="O58" s="137"/>
      <c r="P58" s="104"/>
      <c r="Q58" s="104"/>
      <c r="R58" s="137"/>
      <c r="S58" s="104"/>
      <c r="T58" s="137"/>
    </row>
    <row r="59" spans="1:20" ht="18.75">
      <c r="A59" s="137"/>
      <c r="B59" s="138"/>
      <c r="C59" s="139"/>
      <c r="D59" s="139"/>
      <c r="E59" s="137"/>
      <c r="F59" s="139"/>
      <c r="G59" s="107"/>
      <c r="H59" s="137"/>
      <c r="I59" s="137"/>
      <c r="J59" s="140"/>
      <c r="K59" s="141"/>
      <c r="L59" s="137"/>
      <c r="M59" s="137"/>
      <c r="N59" s="137"/>
      <c r="O59" s="137"/>
      <c r="P59" s="104"/>
      <c r="Q59" s="104"/>
      <c r="R59" s="137"/>
      <c r="S59" s="104"/>
      <c r="T59" s="137"/>
    </row>
    <row r="60" spans="1:20" ht="18.75">
      <c r="A60" s="137"/>
      <c r="B60" s="138"/>
      <c r="C60" s="139"/>
      <c r="D60" s="139"/>
      <c r="E60" s="137"/>
      <c r="F60" s="139"/>
      <c r="G60" s="107"/>
      <c r="H60" s="137"/>
      <c r="I60" s="137"/>
      <c r="J60" s="140"/>
      <c r="K60" s="141"/>
      <c r="L60" s="137"/>
      <c r="M60" s="137"/>
      <c r="N60" s="137"/>
      <c r="O60" s="137"/>
      <c r="P60" s="104"/>
      <c r="Q60" s="104"/>
      <c r="R60" s="137"/>
      <c r="S60" s="104"/>
      <c r="T60" s="137"/>
    </row>
    <row r="61" spans="1:20" ht="18.75">
      <c r="A61" s="137"/>
      <c r="B61" s="138"/>
      <c r="C61" s="139"/>
      <c r="D61" s="139"/>
      <c r="E61" s="137"/>
      <c r="F61" s="139"/>
      <c r="G61" s="107"/>
      <c r="H61" s="137"/>
      <c r="I61" s="137"/>
      <c r="J61" s="140"/>
      <c r="K61" s="141"/>
      <c r="L61" s="137"/>
      <c r="M61" s="137"/>
      <c r="N61" s="137"/>
      <c r="O61" s="137"/>
      <c r="P61" s="104"/>
      <c r="Q61" s="104"/>
      <c r="R61" s="137"/>
      <c r="S61" s="104"/>
      <c r="T61" s="137"/>
    </row>
    <row r="62" spans="1:20" ht="18.75">
      <c r="A62" s="137"/>
      <c r="B62" s="138"/>
      <c r="C62" s="139"/>
      <c r="D62" s="139"/>
      <c r="E62" s="137"/>
      <c r="F62" s="139"/>
      <c r="G62" s="107"/>
      <c r="H62" s="137"/>
      <c r="I62" s="137"/>
      <c r="J62" s="140"/>
      <c r="K62" s="141"/>
      <c r="L62" s="137"/>
      <c r="M62" s="137"/>
      <c r="N62" s="137"/>
      <c r="O62" s="137"/>
      <c r="P62" s="104"/>
      <c r="Q62" s="104"/>
      <c r="R62" s="137"/>
      <c r="S62" s="104"/>
      <c r="T62" s="137"/>
    </row>
    <row r="63" spans="1:20" ht="18.75">
      <c r="A63" s="137"/>
      <c r="B63" s="138"/>
      <c r="C63" s="139"/>
      <c r="D63" s="139"/>
      <c r="E63" s="137"/>
      <c r="F63" s="139"/>
      <c r="G63" s="107"/>
      <c r="H63" s="137"/>
      <c r="I63" s="137"/>
      <c r="J63" s="140"/>
      <c r="K63" s="141"/>
      <c r="L63" s="137"/>
      <c r="M63" s="137"/>
      <c r="N63" s="137"/>
      <c r="O63" s="137"/>
      <c r="P63" s="104"/>
      <c r="Q63" s="104"/>
      <c r="R63" s="137"/>
      <c r="S63" s="104"/>
      <c r="T63" s="137"/>
    </row>
    <row r="64" spans="1:20" ht="18.75">
      <c r="A64" s="137"/>
      <c r="B64" s="138"/>
      <c r="C64" s="139"/>
      <c r="D64" s="139"/>
      <c r="E64" s="137"/>
      <c r="F64" s="139"/>
      <c r="G64" s="107"/>
      <c r="H64" s="137"/>
      <c r="I64" s="137"/>
      <c r="J64" s="140"/>
      <c r="K64" s="141"/>
      <c r="L64" s="137"/>
      <c r="M64" s="137"/>
      <c r="N64" s="137"/>
      <c r="O64" s="137"/>
      <c r="P64" s="104"/>
      <c r="Q64" s="104"/>
      <c r="R64" s="137"/>
      <c r="S64" s="104"/>
      <c r="T64" s="137"/>
    </row>
    <row r="65" spans="1:20" ht="18.75">
      <c r="A65" s="137"/>
      <c r="B65" s="138"/>
      <c r="C65" s="139"/>
      <c r="D65" s="139"/>
      <c r="E65" s="137"/>
      <c r="F65" s="139"/>
      <c r="G65" s="107"/>
      <c r="H65" s="137"/>
      <c r="I65" s="137"/>
      <c r="J65" s="140"/>
      <c r="K65" s="141"/>
      <c r="L65" s="137"/>
      <c r="M65" s="137"/>
      <c r="N65" s="137"/>
      <c r="O65" s="137"/>
      <c r="P65" s="104"/>
      <c r="Q65" s="104"/>
      <c r="R65" s="137"/>
      <c r="S65" s="104"/>
      <c r="T65" s="137"/>
    </row>
    <row r="66" spans="1:20" ht="18.75">
      <c r="A66" s="137"/>
      <c r="B66" s="138"/>
      <c r="C66" s="139"/>
      <c r="D66" s="139"/>
      <c r="E66" s="137"/>
      <c r="F66" s="139"/>
      <c r="G66" s="107"/>
      <c r="H66" s="137"/>
      <c r="I66" s="137"/>
      <c r="J66" s="140"/>
      <c r="K66" s="141"/>
      <c r="L66" s="137"/>
      <c r="M66" s="137"/>
      <c r="N66" s="137"/>
      <c r="O66" s="137"/>
      <c r="P66" s="104"/>
      <c r="Q66" s="104"/>
      <c r="R66" s="137"/>
      <c r="S66" s="104"/>
      <c r="T66" s="137"/>
    </row>
    <row r="67" spans="1:20" ht="18.75">
      <c r="A67" s="137"/>
      <c r="B67" s="138"/>
      <c r="C67" s="139"/>
      <c r="D67" s="139"/>
      <c r="E67" s="137"/>
      <c r="F67" s="139"/>
      <c r="G67" s="107"/>
      <c r="H67" s="137"/>
      <c r="I67" s="137"/>
      <c r="J67" s="140"/>
      <c r="K67" s="141"/>
      <c r="L67" s="137"/>
      <c r="M67" s="137"/>
      <c r="N67" s="137"/>
      <c r="O67" s="137"/>
      <c r="P67" s="104"/>
      <c r="Q67" s="104"/>
      <c r="R67" s="137"/>
      <c r="S67" s="104"/>
      <c r="T67" s="137"/>
    </row>
    <row r="68" spans="1:20" ht="18.75">
      <c r="A68" s="137"/>
      <c r="B68" s="138"/>
      <c r="C68" s="139"/>
      <c r="D68" s="139"/>
      <c r="E68" s="137"/>
      <c r="F68" s="139"/>
      <c r="G68" s="107"/>
      <c r="H68" s="137"/>
      <c r="I68" s="137"/>
      <c r="J68" s="140"/>
      <c r="K68" s="141"/>
      <c r="L68" s="137"/>
      <c r="M68" s="137"/>
      <c r="N68" s="137"/>
      <c r="O68" s="137"/>
      <c r="P68" s="104"/>
      <c r="Q68" s="104"/>
      <c r="R68" s="137"/>
      <c r="S68" s="104"/>
      <c r="T68" s="137"/>
    </row>
    <row r="69" spans="1:20" ht="18.75">
      <c r="A69" s="137"/>
      <c r="B69" s="138"/>
      <c r="C69" s="139"/>
      <c r="D69" s="139"/>
      <c r="E69" s="137"/>
      <c r="F69" s="139"/>
      <c r="G69" s="107"/>
      <c r="H69" s="137"/>
      <c r="I69" s="137"/>
      <c r="J69" s="140"/>
      <c r="K69" s="141"/>
      <c r="L69" s="137"/>
      <c r="M69" s="137"/>
      <c r="N69" s="137"/>
      <c r="O69" s="137"/>
      <c r="P69" s="104"/>
      <c r="Q69" s="104"/>
      <c r="R69" s="137"/>
      <c r="S69" s="104"/>
      <c r="T69" s="137"/>
    </row>
    <row r="70" spans="1:20" ht="18.75">
      <c r="A70" s="137"/>
      <c r="B70" s="138"/>
      <c r="C70" s="139"/>
      <c r="D70" s="139"/>
      <c r="E70" s="137"/>
      <c r="F70" s="139"/>
      <c r="G70" s="107"/>
      <c r="H70" s="137"/>
      <c r="I70" s="137"/>
      <c r="J70" s="140"/>
      <c r="K70" s="141"/>
      <c r="L70" s="137"/>
      <c r="M70" s="137"/>
      <c r="N70" s="137"/>
      <c r="O70" s="137"/>
      <c r="P70" s="104"/>
      <c r="Q70" s="104"/>
      <c r="R70" s="137"/>
      <c r="S70" s="104"/>
      <c r="T70" s="137"/>
    </row>
    <row r="71" spans="1:20" ht="18.75">
      <c r="A71" s="137"/>
      <c r="B71" s="138"/>
      <c r="C71" s="139"/>
      <c r="D71" s="139"/>
      <c r="E71" s="137"/>
      <c r="F71" s="139"/>
      <c r="G71" s="107"/>
      <c r="H71" s="137"/>
      <c r="I71" s="137"/>
      <c r="J71" s="140"/>
      <c r="K71" s="141"/>
      <c r="L71" s="137"/>
      <c r="M71" s="137"/>
      <c r="N71" s="137"/>
      <c r="O71" s="137"/>
      <c r="P71" s="104"/>
      <c r="Q71" s="104"/>
      <c r="R71" s="137"/>
      <c r="S71" s="104"/>
      <c r="T71" s="137"/>
    </row>
    <row r="72" spans="1:20" ht="18.75">
      <c r="A72" s="137"/>
      <c r="B72" s="138"/>
      <c r="C72" s="139"/>
      <c r="D72" s="139"/>
      <c r="E72" s="137"/>
      <c r="F72" s="139"/>
      <c r="G72" s="107"/>
      <c r="H72" s="137"/>
      <c r="I72" s="137"/>
      <c r="J72" s="140"/>
      <c r="K72" s="141"/>
      <c r="L72" s="137"/>
      <c r="M72" s="137"/>
      <c r="N72" s="137"/>
      <c r="O72" s="137"/>
      <c r="P72" s="104"/>
      <c r="Q72" s="104"/>
      <c r="R72" s="137"/>
      <c r="S72" s="104"/>
      <c r="T72" s="137"/>
    </row>
    <row r="73" spans="1:20" ht="18.75">
      <c r="A73" s="137"/>
      <c r="B73" s="138"/>
      <c r="C73" s="139"/>
      <c r="D73" s="139"/>
      <c r="E73" s="137"/>
      <c r="F73" s="139"/>
      <c r="G73" s="107"/>
      <c r="H73" s="137"/>
      <c r="I73" s="137"/>
      <c r="J73" s="140"/>
      <c r="K73" s="141"/>
      <c r="L73" s="137"/>
      <c r="M73" s="137"/>
      <c r="N73" s="137"/>
      <c r="O73" s="137"/>
      <c r="P73" s="104"/>
      <c r="Q73" s="104"/>
      <c r="R73" s="137"/>
      <c r="S73" s="104"/>
      <c r="T73" s="137"/>
    </row>
    <row r="74" spans="1:20" ht="18.75">
      <c r="A74" s="137"/>
      <c r="B74" s="138"/>
      <c r="C74" s="139"/>
      <c r="D74" s="139"/>
      <c r="E74" s="137"/>
      <c r="F74" s="139"/>
      <c r="G74" s="107"/>
      <c r="H74" s="137"/>
      <c r="I74" s="137"/>
      <c r="J74" s="140"/>
      <c r="K74" s="141"/>
      <c r="L74" s="137"/>
      <c r="M74" s="137"/>
      <c r="N74" s="137"/>
      <c r="O74" s="137"/>
      <c r="P74" s="104"/>
      <c r="Q74" s="104"/>
      <c r="R74" s="137"/>
      <c r="S74" s="104"/>
      <c r="T74" s="137"/>
    </row>
    <row r="75" spans="1:20" ht="18.75">
      <c r="A75" s="137"/>
      <c r="B75" s="138"/>
      <c r="C75" s="139"/>
      <c r="D75" s="139"/>
      <c r="E75" s="137"/>
      <c r="F75" s="139"/>
      <c r="G75" s="107"/>
      <c r="H75" s="137"/>
      <c r="I75" s="137"/>
      <c r="J75" s="140"/>
      <c r="K75" s="141"/>
      <c r="L75" s="137"/>
      <c r="M75" s="137"/>
      <c r="N75" s="137"/>
      <c r="O75" s="137"/>
      <c r="P75" s="104"/>
      <c r="Q75" s="104"/>
      <c r="R75" s="137"/>
      <c r="S75" s="104"/>
      <c r="T75" s="137"/>
    </row>
    <row r="76" spans="1:20" ht="18.75">
      <c r="A76" s="137"/>
      <c r="B76" s="138"/>
      <c r="C76" s="139"/>
      <c r="D76" s="139"/>
      <c r="E76" s="137"/>
      <c r="F76" s="139"/>
      <c r="G76" s="107"/>
      <c r="H76" s="137"/>
      <c r="I76" s="137"/>
      <c r="J76" s="140"/>
      <c r="K76" s="141"/>
      <c r="L76" s="137"/>
      <c r="M76" s="137"/>
      <c r="N76" s="137"/>
      <c r="O76" s="137"/>
      <c r="P76" s="104"/>
      <c r="Q76" s="104"/>
      <c r="R76" s="137"/>
      <c r="S76" s="104"/>
      <c r="T76" s="137"/>
    </row>
    <row r="77" spans="1:20" ht="18.75">
      <c r="A77" s="137"/>
      <c r="B77" s="138"/>
      <c r="C77" s="139"/>
      <c r="D77" s="139"/>
      <c r="E77" s="137"/>
      <c r="F77" s="139"/>
      <c r="G77" s="107"/>
      <c r="H77" s="137"/>
      <c r="I77" s="137"/>
      <c r="J77" s="140"/>
      <c r="K77" s="141"/>
      <c r="L77" s="137"/>
      <c r="M77" s="137"/>
      <c r="N77" s="137"/>
      <c r="O77" s="137"/>
      <c r="P77" s="104"/>
      <c r="Q77" s="104"/>
      <c r="R77" s="137"/>
      <c r="S77" s="104"/>
      <c r="T77" s="137"/>
    </row>
    <row r="78" spans="1:20" ht="18.75">
      <c r="A78" s="137"/>
      <c r="B78" s="138"/>
      <c r="C78" s="139"/>
      <c r="D78" s="139"/>
      <c r="E78" s="137"/>
      <c r="F78" s="139"/>
      <c r="G78" s="107"/>
      <c r="H78" s="137"/>
      <c r="I78" s="137"/>
      <c r="J78" s="140"/>
      <c r="K78" s="141"/>
      <c r="L78" s="137"/>
      <c r="M78" s="137"/>
      <c r="N78" s="137"/>
      <c r="O78" s="137"/>
      <c r="P78" s="104"/>
      <c r="Q78" s="104"/>
      <c r="R78" s="137"/>
      <c r="S78" s="104"/>
      <c r="T78" s="137"/>
    </row>
    <row r="79" spans="1:20" ht="18.75">
      <c r="A79" s="137"/>
      <c r="B79" s="138"/>
      <c r="C79" s="139"/>
      <c r="D79" s="139"/>
      <c r="E79" s="137"/>
      <c r="F79" s="139"/>
      <c r="G79" s="107"/>
      <c r="H79" s="137"/>
      <c r="I79" s="137"/>
      <c r="J79" s="140"/>
      <c r="K79" s="141"/>
      <c r="L79" s="137"/>
      <c r="M79" s="137"/>
      <c r="N79" s="137"/>
      <c r="O79" s="137"/>
      <c r="P79" s="104"/>
      <c r="Q79" s="104"/>
      <c r="R79" s="137"/>
      <c r="S79" s="104"/>
      <c r="T79" s="137"/>
    </row>
    <row r="80" spans="1:20" ht="18.75">
      <c r="A80" s="137"/>
      <c r="B80" s="138"/>
      <c r="C80" s="139"/>
      <c r="D80" s="139"/>
      <c r="E80" s="137"/>
      <c r="F80" s="139"/>
      <c r="G80" s="107"/>
      <c r="H80" s="137"/>
      <c r="I80" s="137"/>
      <c r="J80" s="140"/>
      <c r="K80" s="141"/>
      <c r="L80" s="137"/>
      <c r="M80" s="137"/>
      <c r="N80" s="137"/>
      <c r="O80" s="137"/>
      <c r="P80" s="104"/>
      <c r="Q80" s="104"/>
      <c r="R80" s="137"/>
      <c r="S80" s="104"/>
      <c r="T80" s="137"/>
    </row>
    <row r="81" spans="1:20" ht="18.75">
      <c r="A81" s="137"/>
      <c r="B81" s="138"/>
      <c r="C81" s="139"/>
      <c r="D81" s="139"/>
      <c r="E81" s="137"/>
      <c r="F81" s="139"/>
      <c r="G81" s="107"/>
      <c r="H81" s="137"/>
      <c r="I81" s="137"/>
      <c r="J81" s="140"/>
      <c r="K81" s="141"/>
      <c r="L81" s="137"/>
      <c r="M81" s="137"/>
      <c r="N81" s="137"/>
      <c r="O81" s="137"/>
      <c r="P81" s="104"/>
      <c r="Q81" s="104"/>
      <c r="R81" s="137"/>
      <c r="S81" s="104"/>
      <c r="T81" s="137"/>
    </row>
    <row r="82" spans="1:20" ht="18.75">
      <c r="A82" s="137"/>
      <c r="B82" s="138"/>
      <c r="C82" s="139"/>
      <c r="D82" s="139"/>
      <c r="E82" s="137"/>
      <c r="F82" s="139"/>
      <c r="G82" s="107"/>
      <c r="H82" s="137"/>
      <c r="I82" s="137"/>
      <c r="J82" s="140"/>
      <c r="K82" s="141"/>
      <c r="L82" s="137"/>
      <c r="M82" s="137"/>
      <c r="N82" s="137"/>
      <c r="O82" s="137"/>
      <c r="P82" s="104"/>
      <c r="Q82" s="104"/>
      <c r="R82" s="137"/>
      <c r="S82" s="104"/>
      <c r="T82" s="137"/>
    </row>
    <row r="83" spans="1:20" ht="18.75">
      <c r="A83" s="137"/>
      <c r="B83" s="138"/>
      <c r="C83" s="139"/>
      <c r="D83" s="139"/>
      <c r="E83" s="137"/>
      <c r="F83" s="139"/>
      <c r="G83" s="107"/>
      <c r="H83" s="137"/>
      <c r="I83" s="137"/>
      <c r="J83" s="140"/>
      <c r="K83" s="141"/>
      <c r="L83" s="137"/>
      <c r="M83" s="137"/>
      <c r="N83" s="137"/>
      <c r="O83" s="137"/>
      <c r="P83" s="104"/>
      <c r="Q83" s="104"/>
      <c r="R83" s="137"/>
      <c r="S83" s="104"/>
      <c r="T83" s="137"/>
    </row>
    <row r="84" spans="1:20" ht="18.75">
      <c r="A84" s="137"/>
      <c r="B84" s="138"/>
      <c r="C84" s="139"/>
      <c r="D84" s="139"/>
      <c r="E84" s="137"/>
      <c r="F84" s="139"/>
      <c r="G84" s="107"/>
      <c r="H84" s="137"/>
      <c r="I84" s="137"/>
      <c r="J84" s="140"/>
      <c r="K84" s="141"/>
      <c r="L84" s="137"/>
      <c r="M84" s="137"/>
      <c r="N84" s="137"/>
      <c r="O84" s="137"/>
      <c r="P84" s="104"/>
      <c r="Q84" s="104"/>
      <c r="R84" s="137"/>
      <c r="S84" s="104"/>
      <c r="T84" s="137"/>
    </row>
    <row r="85" spans="1:20" ht="18.75">
      <c r="A85" s="137"/>
      <c r="B85" s="138"/>
      <c r="C85" s="139"/>
      <c r="D85" s="139"/>
      <c r="E85" s="137"/>
      <c r="F85" s="139"/>
      <c r="G85" s="107"/>
      <c r="H85" s="137"/>
      <c r="I85" s="137"/>
      <c r="J85" s="140"/>
      <c r="K85" s="141"/>
      <c r="L85" s="137"/>
      <c r="M85" s="137"/>
      <c r="N85" s="137"/>
      <c r="O85" s="137"/>
      <c r="P85" s="104"/>
      <c r="Q85" s="104"/>
      <c r="R85" s="137"/>
      <c r="S85" s="104"/>
      <c r="T85" s="137"/>
    </row>
    <row r="86" spans="1:20" ht="18.75">
      <c r="A86" s="137"/>
      <c r="B86" s="138"/>
      <c r="C86" s="139"/>
      <c r="D86" s="139"/>
      <c r="E86" s="137"/>
      <c r="F86" s="139"/>
      <c r="G86" s="107"/>
      <c r="H86" s="137"/>
      <c r="I86" s="137"/>
      <c r="J86" s="140"/>
      <c r="K86" s="141"/>
      <c r="L86" s="137"/>
      <c r="M86" s="137"/>
      <c r="N86" s="137"/>
      <c r="O86" s="137"/>
      <c r="P86" s="104"/>
      <c r="Q86" s="104"/>
      <c r="R86" s="137"/>
      <c r="S86" s="104"/>
      <c r="T86" s="137"/>
    </row>
    <row r="87" spans="1:20" ht="18.75">
      <c r="A87" s="137"/>
      <c r="B87" s="138"/>
      <c r="C87" s="139"/>
      <c r="D87" s="139"/>
      <c r="E87" s="137"/>
      <c r="F87" s="139"/>
      <c r="G87" s="107"/>
      <c r="H87" s="137"/>
      <c r="I87" s="137"/>
      <c r="J87" s="140"/>
      <c r="K87" s="141"/>
      <c r="L87" s="137"/>
      <c r="M87" s="137"/>
      <c r="N87" s="137"/>
      <c r="O87" s="137"/>
      <c r="P87" s="104"/>
      <c r="Q87" s="104"/>
      <c r="R87" s="137"/>
      <c r="S87" s="104"/>
      <c r="T87" s="137"/>
    </row>
    <row r="88" spans="1:20" ht="18.75">
      <c r="A88" s="137"/>
      <c r="B88" s="138"/>
      <c r="C88" s="139"/>
      <c r="D88" s="139"/>
      <c r="E88" s="137"/>
      <c r="F88" s="139"/>
      <c r="G88" s="107"/>
      <c r="H88" s="137"/>
      <c r="I88" s="137"/>
      <c r="J88" s="140"/>
      <c r="K88" s="141"/>
      <c r="L88" s="137"/>
      <c r="M88" s="137"/>
      <c r="N88" s="137"/>
      <c r="O88" s="137"/>
      <c r="P88" s="104"/>
      <c r="Q88" s="104"/>
      <c r="R88" s="137"/>
      <c r="S88" s="104"/>
      <c r="T88" s="137"/>
    </row>
    <row r="89" spans="1:20" ht="18.75">
      <c r="A89" s="137"/>
      <c r="B89" s="138"/>
      <c r="C89" s="139"/>
      <c r="D89" s="139"/>
      <c r="E89" s="137"/>
      <c r="F89" s="139"/>
      <c r="G89" s="107"/>
      <c r="H89" s="137"/>
      <c r="I89" s="137"/>
      <c r="J89" s="140"/>
      <c r="K89" s="141"/>
      <c r="L89" s="137"/>
      <c r="M89" s="137"/>
      <c r="N89" s="137"/>
      <c r="O89" s="137"/>
      <c r="P89" s="104"/>
      <c r="Q89" s="104"/>
      <c r="R89" s="137"/>
      <c r="S89" s="104"/>
      <c r="T89" s="137"/>
    </row>
    <row r="90" spans="1:20" ht="18.75">
      <c r="A90" s="137"/>
      <c r="B90" s="138"/>
      <c r="C90" s="139"/>
      <c r="D90" s="139"/>
      <c r="E90" s="137"/>
      <c r="F90" s="139"/>
      <c r="G90" s="107"/>
      <c r="H90" s="137"/>
      <c r="I90" s="137"/>
      <c r="J90" s="140"/>
      <c r="K90" s="141"/>
      <c r="L90" s="137"/>
      <c r="M90" s="137"/>
      <c r="N90" s="137"/>
      <c r="O90" s="137"/>
      <c r="P90" s="104"/>
      <c r="Q90" s="104"/>
      <c r="R90" s="137"/>
      <c r="S90" s="104"/>
      <c r="T90" s="137"/>
    </row>
    <row r="91" spans="1:20" ht="18.75">
      <c r="A91" s="137"/>
      <c r="B91" s="138"/>
      <c r="C91" s="139"/>
      <c r="D91" s="139"/>
      <c r="E91" s="137"/>
      <c r="F91" s="139"/>
      <c r="G91" s="107"/>
      <c r="H91" s="137"/>
      <c r="I91" s="137"/>
      <c r="J91" s="140"/>
      <c r="K91" s="141"/>
      <c r="L91" s="137"/>
      <c r="M91" s="137"/>
      <c r="N91" s="137"/>
      <c r="O91" s="137"/>
      <c r="P91" s="104"/>
      <c r="Q91" s="104"/>
      <c r="R91" s="137"/>
      <c r="S91" s="104"/>
      <c r="T91" s="137"/>
    </row>
    <row r="92" spans="1:20" ht="18.75">
      <c r="A92" s="137"/>
      <c r="B92" s="138"/>
      <c r="C92" s="139"/>
      <c r="D92" s="139"/>
      <c r="E92" s="137"/>
      <c r="F92" s="139"/>
      <c r="G92" s="107"/>
      <c r="H92" s="137"/>
      <c r="I92" s="137"/>
      <c r="J92" s="140"/>
      <c r="K92" s="141"/>
      <c r="L92" s="137"/>
      <c r="M92" s="137"/>
      <c r="N92" s="137"/>
      <c r="O92" s="137"/>
      <c r="P92" s="104"/>
      <c r="Q92" s="104"/>
      <c r="R92" s="137"/>
      <c r="S92" s="104"/>
      <c r="T92" s="137"/>
    </row>
    <row r="93" spans="1:20" ht="18.75">
      <c r="A93" s="137"/>
      <c r="B93" s="138"/>
      <c r="C93" s="139"/>
      <c r="D93" s="139"/>
      <c r="E93" s="137"/>
      <c r="F93" s="139"/>
      <c r="G93" s="107"/>
      <c r="H93" s="137"/>
      <c r="I93" s="137"/>
      <c r="J93" s="140"/>
      <c r="K93" s="141"/>
      <c r="L93" s="137"/>
      <c r="M93" s="137"/>
      <c r="N93" s="137"/>
      <c r="O93" s="137"/>
      <c r="P93" s="104"/>
      <c r="Q93" s="104"/>
      <c r="R93" s="137"/>
      <c r="S93" s="104"/>
      <c r="T93" s="137"/>
    </row>
    <row r="94" spans="1:20" ht="18.75">
      <c r="A94" s="137"/>
      <c r="B94" s="138"/>
      <c r="C94" s="139"/>
      <c r="D94" s="139"/>
      <c r="E94" s="137"/>
      <c r="F94" s="139"/>
      <c r="G94" s="107"/>
      <c r="H94" s="137"/>
      <c r="I94" s="137"/>
      <c r="J94" s="140"/>
      <c r="K94" s="141"/>
      <c r="L94" s="137"/>
      <c r="M94" s="137"/>
      <c r="N94" s="137"/>
      <c r="O94" s="137"/>
      <c r="P94" s="104"/>
      <c r="Q94" s="104"/>
      <c r="R94" s="137"/>
      <c r="S94" s="104"/>
      <c r="T94" s="137"/>
    </row>
    <row r="95" spans="1:20" ht="18.75">
      <c r="A95" s="137"/>
      <c r="B95" s="138"/>
      <c r="C95" s="139"/>
      <c r="D95" s="139"/>
      <c r="E95" s="137"/>
      <c r="F95" s="139"/>
      <c r="G95" s="107"/>
      <c r="H95" s="137"/>
      <c r="I95" s="137"/>
      <c r="J95" s="140"/>
      <c r="K95" s="141"/>
      <c r="L95" s="137"/>
      <c r="M95" s="137"/>
      <c r="N95" s="137"/>
      <c r="O95" s="137"/>
      <c r="P95" s="104"/>
      <c r="Q95" s="104"/>
      <c r="R95" s="137"/>
      <c r="S95" s="104"/>
      <c r="T95" s="137"/>
    </row>
    <row r="96" spans="1:20" ht="18.75">
      <c r="A96" s="137"/>
      <c r="B96" s="138"/>
      <c r="C96" s="139"/>
      <c r="D96" s="139"/>
      <c r="E96" s="137"/>
      <c r="F96" s="139"/>
      <c r="G96" s="107"/>
      <c r="H96" s="137"/>
      <c r="I96" s="137"/>
      <c r="J96" s="140"/>
      <c r="K96" s="141"/>
      <c r="L96" s="137"/>
      <c r="M96" s="137"/>
      <c r="N96" s="137"/>
      <c r="O96" s="137"/>
      <c r="P96" s="104"/>
      <c r="Q96" s="104"/>
      <c r="R96" s="137"/>
      <c r="S96" s="104"/>
      <c r="T96" s="137"/>
    </row>
    <row r="97" spans="1:20" ht="18.75">
      <c r="A97" s="137"/>
      <c r="B97" s="138"/>
      <c r="C97" s="139"/>
      <c r="D97" s="139"/>
      <c r="E97" s="137"/>
      <c r="F97" s="139"/>
      <c r="G97" s="107"/>
      <c r="H97" s="137"/>
      <c r="I97" s="137"/>
      <c r="J97" s="140"/>
      <c r="K97" s="141"/>
      <c r="L97" s="137"/>
      <c r="M97" s="137"/>
      <c r="N97" s="137"/>
      <c r="O97" s="137"/>
      <c r="P97" s="104"/>
      <c r="Q97" s="104"/>
      <c r="R97" s="137"/>
      <c r="S97" s="104"/>
      <c r="T97" s="137"/>
    </row>
    <row r="98" spans="1:20" ht="18.75">
      <c r="A98" s="137"/>
      <c r="B98" s="138"/>
      <c r="C98" s="139"/>
      <c r="D98" s="139"/>
      <c r="E98" s="137"/>
      <c r="F98" s="139"/>
      <c r="G98" s="107"/>
      <c r="H98" s="137"/>
      <c r="I98" s="137"/>
      <c r="J98" s="140"/>
      <c r="K98" s="141"/>
      <c r="L98" s="137"/>
      <c r="M98" s="137"/>
      <c r="N98" s="137"/>
      <c r="O98" s="137"/>
      <c r="P98" s="104"/>
      <c r="Q98" s="104"/>
      <c r="R98" s="137"/>
      <c r="S98" s="104"/>
      <c r="T98" s="137"/>
    </row>
    <row r="99" spans="1:20" ht="18.75">
      <c r="A99" s="137"/>
      <c r="B99" s="138"/>
      <c r="C99" s="139"/>
      <c r="D99" s="139"/>
      <c r="E99" s="137"/>
      <c r="F99" s="139"/>
      <c r="G99" s="107"/>
      <c r="H99" s="137"/>
      <c r="I99" s="137"/>
      <c r="J99" s="140"/>
      <c r="K99" s="141"/>
      <c r="L99" s="137"/>
      <c r="M99" s="137"/>
      <c r="N99" s="137"/>
      <c r="O99" s="137"/>
      <c r="P99" s="104"/>
      <c r="Q99" s="104"/>
      <c r="R99" s="137"/>
      <c r="S99" s="104"/>
      <c r="T99" s="137"/>
    </row>
    <row r="100" spans="1:20" ht="18.75">
      <c r="A100" s="137"/>
      <c r="B100" s="138"/>
      <c r="C100" s="139"/>
      <c r="D100" s="139"/>
      <c r="E100" s="137"/>
      <c r="F100" s="139"/>
      <c r="G100" s="107"/>
      <c r="H100" s="137"/>
      <c r="I100" s="137"/>
      <c r="J100" s="140"/>
      <c r="K100" s="141"/>
      <c r="L100" s="137"/>
      <c r="M100" s="137"/>
      <c r="N100" s="137"/>
      <c r="O100" s="137"/>
      <c r="P100" s="104"/>
      <c r="Q100" s="104"/>
      <c r="R100" s="137"/>
      <c r="S100" s="104"/>
      <c r="T100" s="137"/>
    </row>
    <row r="101" spans="1:20" ht="18.75">
      <c r="A101" s="137"/>
      <c r="B101" s="138"/>
      <c r="C101" s="139"/>
      <c r="D101" s="139"/>
      <c r="E101" s="137"/>
      <c r="F101" s="139"/>
      <c r="G101" s="107"/>
      <c r="H101" s="137"/>
      <c r="I101" s="137"/>
      <c r="J101" s="140"/>
      <c r="K101" s="141"/>
      <c r="L101" s="137"/>
      <c r="M101" s="137"/>
      <c r="N101" s="137"/>
      <c r="O101" s="137"/>
      <c r="P101" s="104"/>
      <c r="Q101" s="104"/>
      <c r="R101" s="137"/>
      <c r="S101" s="104"/>
      <c r="T101" s="137"/>
    </row>
    <row r="102" spans="1:20" ht="18.75">
      <c r="A102" s="137"/>
      <c r="B102" s="138"/>
      <c r="C102" s="139"/>
      <c r="D102" s="139"/>
      <c r="E102" s="137"/>
      <c r="F102" s="139"/>
      <c r="G102" s="107"/>
      <c r="H102" s="137"/>
      <c r="I102" s="137"/>
      <c r="J102" s="140"/>
      <c r="K102" s="141"/>
      <c r="L102" s="137"/>
      <c r="M102" s="137"/>
      <c r="N102" s="137"/>
      <c r="O102" s="137"/>
      <c r="P102" s="104"/>
      <c r="Q102" s="104"/>
      <c r="R102" s="137"/>
      <c r="S102" s="104"/>
      <c r="T102" s="137"/>
    </row>
    <row r="103" spans="1:20" ht="18.75">
      <c r="A103" s="137"/>
      <c r="B103" s="138"/>
      <c r="C103" s="139"/>
      <c r="D103" s="139"/>
      <c r="E103" s="137"/>
      <c r="F103" s="139"/>
      <c r="G103" s="107"/>
      <c r="H103" s="137"/>
      <c r="I103" s="137"/>
      <c r="J103" s="140"/>
      <c r="K103" s="141"/>
      <c r="L103" s="137"/>
      <c r="M103" s="137"/>
      <c r="N103" s="137"/>
      <c r="O103" s="137"/>
      <c r="P103" s="104"/>
      <c r="Q103" s="104"/>
      <c r="R103" s="137"/>
      <c r="S103" s="104"/>
      <c r="T103" s="137"/>
    </row>
    <row r="104" spans="1:20" ht="18.75">
      <c r="A104" s="137"/>
      <c r="B104" s="138"/>
      <c r="C104" s="139"/>
      <c r="D104" s="139"/>
      <c r="E104" s="137"/>
      <c r="F104" s="139"/>
      <c r="G104" s="107"/>
      <c r="H104" s="137"/>
      <c r="I104" s="137"/>
      <c r="J104" s="140"/>
      <c r="K104" s="141"/>
      <c r="L104" s="137"/>
      <c r="M104" s="137"/>
      <c r="N104" s="137"/>
      <c r="O104" s="137"/>
      <c r="P104" s="104"/>
      <c r="Q104" s="104"/>
      <c r="R104" s="137"/>
      <c r="S104" s="104"/>
      <c r="T104" s="137"/>
    </row>
    <row r="105" spans="1:20" ht="18.75">
      <c r="A105" s="137"/>
      <c r="B105" s="138"/>
      <c r="C105" s="139"/>
      <c r="D105" s="139"/>
      <c r="E105" s="137"/>
      <c r="F105" s="139"/>
      <c r="G105" s="107"/>
      <c r="H105" s="137"/>
      <c r="I105" s="137"/>
      <c r="J105" s="140"/>
      <c r="K105" s="141"/>
      <c r="L105" s="137"/>
      <c r="M105" s="137"/>
      <c r="N105" s="137"/>
      <c r="O105" s="137"/>
      <c r="P105" s="104"/>
      <c r="Q105" s="104"/>
      <c r="R105" s="137"/>
      <c r="S105" s="104"/>
      <c r="T105" s="137"/>
    </row>
    <row r="106" spans="1:20" ht="18.75">
      <c r="A106" s="137"/>
      <c r="B106" s="138"/>
      <c r="C106" s="139"/>
      <c r="D106" s="139"/>
      <c r="E106" s="137"/>
      <c r="F106" s="139"/>
      <c r="G106" s="107"/>
      <c r="H106" s="137"/>
      <c r="I106" s="137"/>
      <c r="J106" s="140"/>
      <c r="K106" s="141"/>
      <c r="L106" s="137"/>
      <c r="M106" s="137"/>
      <c r="N106" s="137"/>
      <c r="O106" s="137"/>
      <c r="P106" s="104"/>
      <c r="Q106" s="104"/>
      <c r="R106" s="137"/>
      <c r="S106" s="104"/>
      <c r="T106" s="137"/>
    </row>
    <row r="107" spans="1:20" ht="18.75">
      <c r="A107" s="137"/>
      <c r="B107" s="138"/>
      <c r="C107" s="139"/>
      <c r="D107" s="139"/>
      <c r="E107" s="137"/>
      <c r="F107" s="139"/>
      <c r="G107" s="107"/>
      <c r="H107" s="137"/>
      <c r="I107" s="137"/>
      <c r="J107" s="140"/>
      <c r="K107" s="141"/>
      <c r="L107" s="137"/>
      <c r="M107" s="137"/>
      <c r="N107" s="137"/>
      <c r="O107" s="137"/>
      <c r="P107" s="104"/>
      <c r="Q107" s="104"/>
      <c r="R107" s="137"/>
      <c r="S107" s="104"/>
      <c r="T107" s="137"/>
    </row>
    <row r="108" spans="1:20" ht="18.75">
      <c r="A108" s="137"/>
      <c r="B108" s="138"/>
      <c r="C108" s="139"/>
      <c r="D108" s="139"/>
      <c r="E108" s="137"/>
      <c r="F108" s="139"/>
      <c r="G108" s="107"/>
      <c r="H108" s="137"/>
      <c r="I108" s="137"/>
      <c r="J108" s="140"/>
      <c r="K108" s="141"/>
      <c r="L108" s="137"/>
      <c r="M108" s="137"/>
      <c r="N108" s="137"/>
      <c r="O108" s="137"/>
      <c r="P108" s="104"/>
      <c r="Q108" s="104"/>
      <c r="R108" s="137"/>
      <c r="S108" s="104"/>
      <c r="T108" s="137"/>
    </row>
    <row r="109" spans="1:20" ht="18.75">
      <c r="A109" s="137"/>
      <c r="B109" s="138"/>
      <c r="C109" s="139"/>
      <c r="D109" s="139"/>
      <c r="E109" s="137"/>
      <c r="F109" s="139"/>
      <c r="G109" s="107"/>
      <c r="H109" s="137"/>
      <c r="I109" s="137"/>
      <c r="J109" s="140"/>
      <c r="K109" s="141"/>
      <c r="L109" s="137"/>
      <c r="M109" s="137"/>
      <c r="N109" s="137"/>
      <c r="O109" s="137"/>
      <c r="P109" s="104"/>
      <c r="Q109" s="104"/>
      <c r="R109" s="137"/>
      <c r="S109" s="104"/>
      <c r="T109" s="137"/>
    </row>
    <row r="110" spans="1:20" ht="18.75">
      <c r="A110" s="137"/>
      <c r="B110" s="138"/>
      <c r="C110" s="139"/>
      <c r="D110" s="139"/>
      <c r="E110" s="137"/>
      <c r="F110" s="139"/>
      <c r="G110" s="107"/>
      <c r="H110" s="137"/>
      <c r="I110" s="137"/>
      <c r="J110" s="140"/>
      <c r="K110" s="141"/>
      <c r="L110" s="137"/>
      <c r="M110" s="137"/>
      <c r="N110" s="137"/>
      <c r="O110" s="137"/>
      <c r="P110" s="104"/>
      <c r="Q110" s="104"/>
      <c r="R110" s="137"/>
      <c r="S110" s="104"/>
      <c r="T110" s="137"/>
    </row>
    <row r="111" spans="1:20" ht="18.75">
      <c r="A111" s="137"/>
      <c r="B111" s="138"/>
      <c r="C111" s="139"/>
      <c r="D111" s="139"/>
      <c r="E111" s="137"/>
      <c r="F111" s="139"/>
      <c r="G111" s="107"/>
      <c r="H111" s="137"/>
      <c r="I111" s="137"/>
      <c r="J111" s="140"/>
      <c r="K111" s="141"/>
      <c r="L111" s="137"/>
      <c r="M111" s="137"/>
      <c r="N111" s="137"/>
      <c r="O111" s="137"/>
      <c r="P111" s="104"/>
      <c r="Q111" s="104"/>
      <c r="R111" s="137"/>
      <c r="S111" s="104"/>
      <c r="T111" s="137"/>
    </row>
    <row r="112" spans="1:20" ht="18.75">
      <c r="A112" s="137"/>
      <c r="B112" s="138"/>
      <c r="C112" s="139"/>
      <c r="D112" s="139"/>
      <c r="E112" s="137"/>
      <c r="F112" s="139"/>
      <c r="G112" s="107"/>
      <c r="H112" s="137"/>
      <c r="I112" s="137"/>
      <c r="J112" s="140"/>
      <c r="K112" s="141"/>
      <c r="L112" s="137"/>
      <c r="M112" s="137"/>
      <c r="N112" s="137"/>
      <c r="O112" s="137"/>
      <c r="P112" s="104"/>
      <c r="Q112" s="104"/>
      <c r="R112" s="137"/>
      <c r="S112" s="104"/>
      <c r="T112" s="137"/>
    </row>
    <row r="113" spans="1:20" ht="18.75">
      <c r="A113" s="137"/>
      <c r="B113" s="138"/>
      <c r="C113" s="139"/>
      <c r="D113" s="139"/>
      <c r="E113" s="137"/>
      <c r="F113" s="139"/>
      <c r="G113" s="107"/>
      <c r="H113" s="137"/>
      <c r="I113" s="137"/>
      <c r="J113" s="140"/>
      <c r="K113" s="141"/>
      <c r="L113" s="137"/>
      <c r="M113" s="137"/>
      <c r="N113" s="137"/>
      <c r="O113" s="137"/>
      <c r="P113" s="104"/>
      <c r="Q113" s="104"/>
      <c r="R113" s="137"/>
      <c r="S113" s="104"/>
      <c r="T113" s="137"/>
    </row>
    <row r="114" spans="1:20" ht="18.75">
      <c r="A114" s="137"/>
      <c r="B114" s="138"/>
      <c r="C114" s="139"/>
      <c r="D114" s="139"/>
      <c r="E114" s="137"/>
      <c r="F114" s="139"/>
      <c r="G114" s="107"/>
      <c r="H114" s="137"/>
      <c r="I114" s="137"/>
      <c r="J114" s="140"/>
      <c r="K114" s="141"/>
      <c r="L114" s="137"/>
      <c r="M114" s="137"/>
      <c r="N114" s="137"/>
      <c r="O114" s="137"/>
      <c r="P114" s="104"/>
      <c r="Q114" s="104"/>
      <c r="R114" s="137"/>
      <c r="S114" s="104"/>
      <c r="T114" s="137"/>
    </row>
    <row r="115" spans="1:20" ht="18.75">
      <c r="A115" s="137"/>
      <c r="B115" s="138"/>
      <c r="C115" s="139"/>
      <c r="D115" s="139"/>
      <c r="E115" s="137"/>
      <c r="F115" s="139"/>
      <c r="G115" s="107"/>
      <c r="H115" s="137"/>
      <c r="I115" s="137"/>
      <c r="J115" s="140"/>
      <c r="K115" s="141"/>
      <c r="L115" s="137"/>
      <c r="M115" s="137"/>
      <c r="N115" s="137"/>
      <c r="O115" s="137"/>
      <c r="P115" s="104"/>
      <c r="Q115" s="104"/>
      <c r="R115" s="137"/>
      <c r="S115" s="104"/>
      <c r="T115" s="137"/>
    </row>
    <row r="116" spans="1:20" ht="18.75">
      <c r="A116" s="137"/>
      <c r="B116" s="138"/>
      <c r="C116" s="139"/>
      <c r="D116" s="139"/>
      <c r="E116" s="137"/>
      <c r="F116" s="139"/>
      <c r="G116" s="107"/>
      <c r="H116" s="137"/>
      <c r="I116" s="137"/>
      <c r="J116" s="140"/>
      <c r="K116" s="141"/>
      <c r="L116" s="137"/>
      <c r="M116" s="137"/>
      <c r="N116" s="137"/>
      <c r="O116" s="137"/>
      <c r="P116" s="104"/>
      <c r="Q116" s="104"/>
      <c r="R116" s="137"/>
      <c r="S116" s="104"/>
      <c r="T116" s="137"/>
    </row>
    <row r="117" spans="1:20" ht="18.75">
      <c r="A117" s="137"/>
      <c r="B117" s="138"/>
      <c r="C117" s="139"/>
      <c r="D117" s="139"/>
      <c r="E117" s="137"/>
      <c r="F117" s="139"/>
      <c r="G117" s="107"/>
      <c r="H117" s="137"/>
      <c r="I117" s="137"/>
      <c r="J117" s="140"/>
      <c r="K117" s="141"/>
      <c r="L117" s="137"/>
      <c r="M117" s="137"/>
      <c r="N117" s="137"/>
      <c r="O117" s="137"/>
      <c r="P117" s="104"/>
      <c r="Q117" s="104"/>
      <c r="R117" s="137"/>
      <c r="S117" s="104"/>
      <c r="T117" s="137"/>
    </row>
    <row r="118" spans="1:20" ht="18.75">
      <c r="A118" s="137"/>
      <c r="B118" s="138"/>
      <c r="C118" s="139"/>
      <c r="D118" s="139"/>
      <c r="E118" s="137"/>
      <c r="F118" s="139"/>
      <c r="G118" s="107"/>
      <c r="H118" s="137"/>
      <c r="I118" s="137"/>
      <c r="J118" s="140"/>
      <c r="K118" s="141"/>
      <c r="L118" s="137"/>
      <c r="M118" s="137"/>
      <c r="N118" s="137"/>
      <c r="O118" s="137"/>
      <c r="P118" s="104"/>
      <c r="Q118" s="104"/>
      <c r="R118" s="137"/>
      <c r="S118" s="104"/>
      <c r="T118" s="137"/>
    </row>
    <row r="119" spans="1:20" ht="18.75">
      <c r="A119" s="137"/>
      <c r="B119" s="138"/>
      <c r="C119" s="139"/>
      <c r="D119" s="139"/>
      <c r="E119" s="137"/>
      <c r="F119" s="139"/>
      <c r="G119" s="107"/>
      <c r="H119" s="137"/>
      <c r="I119" s="137"/>
      <c r="J119" s="140"/>
      <c r="K119" s="141"/>
      <c r="L119" s="137"/>
      <c r="M119" s="137"/>
      <c r="N119" s="137"/>
      <c r="O119" s="137"/>
      <c r="P119" s="104"/>
      <c r="Q119" s="104"/>
      <c r="R119" s="137"/>
      <c r="S119" s="104"/>
      <c r="T119" s="137"/>
    </row>
    <row r="120" spans="1:20" ht="18.75">
      <c r="A120" s="137"/>
      <c r="B120" s="138"/>
      <c r="C120" s="139"/>
      <c r="D120" s="139"/>
      <c r="E120" s="137"/>
      <c r="F120" s="139"/>
      <c r="G120" s="107"/>
      <c r="H120" s="137"/>
      <c r="I120" s="137"/>
      <c r="J120" s="140"/>
      <c r="K120" s="141"/>
      <c r="L120" s="137"/>
      <c r="M120" s="137"/>
      <c r="N120" s="137"/>
      <c r="O120" s="137"/>
      <c r="P120" s="104"/>
      <c r="Q120" s="104"/>
      <c r="R120" s="137"/>
      <c r="S120" s="104"/>
      <c r="T120" s="137"/>
    </row>
    <row r="121" spans="1:20" ht="18.75">
      <c r="A121" s="137"/>
      <c r="B121" s="138"/>
      <c r="C121" s="139"/>
      <c r="D121" s="139"/>
      <c r="E121" s="137"/>
      <c r="F121" s="139"/>
      <c r="G121" s="107"/>
      <c r="H121" s="137"/>
      <c r="I121" s="137"/>
      <c r="J121" s="140"/>
      <c r="K121" s="141"/>
      <c r="L121" s="137"/>
      <c r="M121" s="137"/>
      <c r="N121" s="137"/>
      <c r="O121" s="137"/>
      <c r="P121" s="104"/>
      <c r="Q121" s="104"/>
      <c r="R121" s="137"/>
      <c r="S121" s="104"/>
      <c r="T121" s="137"/>
    </row>
    <row r="122" spans="1:20" ht="18.75">
      <c r="A122" s="137"/>
      <c r="B122" s="138"/>
      <c r="C122" s="139"/>
      <c r="D122" s="139"/>
      <c r="E122" s="137"/>
      <c r="F122" s="139"/>
      <c r="G122" s="107"/>
      <c r="H122" s="137"/>
      <c r="I122" s="137"/>
      <c r="J122" s="140"/>
      <c r="K122" s="141"/>
      <c r="L122" s="137"/>
      <c r="M122" s="137"/>
      <c r="N122" s="137"/>
      <c r="O122" s="137"/>
      <c r="P122" s="104"/>
      <c r="Q122" s="104"/>
      <c r="R122" s="137"/>
      <c r="S122" s="104"/>
      <c r="T122" s="137"/>
    </row>
    <row r="123" spans="1:20" ht="18.75">
      <c r="A123" s="137"/>
      <c r="B123" s="138"/>
      <c r="C123" s="139"/>
      <c r="D123" s="139"/>
      <c r="E123" s="137"/>
      <c r="F123" s="139"/>
      <c r="G123" s="107"/>
      <c r="H123" s="137"/>
      <c r="I123" s="137"/>
      <c r="J123" s="140"/>
      <c r="K123" s="141"/>
      <c r="L123" s="137"/>
      <c r="M123" s="137"/>
      <c r="N123" s="137"/>
      <c r="O123" s="137"/>
      <c r="P123" s="104"/>
      <c r="Q123" s="104"/>
      <c r="R123" s="137"/>
      <c r="S123" s="104"/>
      <c r="T123" s="137"/>
    </row>
    <row r="124" spans="1:20" ht="18.75">
      <c r="A124" s="137"/>
      <c r="B124" s="138"/>
      <c r="C124" s="139"/>
      <c r="D124" s="139"/>
      <c r="E124" s="137"/>
      <c r="F124" s="139"/>
      <c r="G124" s="107"/>
      <c r="H124" s="137"/>
      <c r="I124" s="137"/>
      <c r="J124" s="140"/>
      <c r="K124" s="141"/>
      <c r="L124" s="137"/>
      <c r="M124" s="137"/>
      <c r="N124" s="137"/>
      <c r="O124" s="137"/>
      <c r="P124" s="104"/>
      <c r="Q124" s="104"/>
      <c r="R124" s="137"/>
      <c r="S124" s="104"/>
      <c r="T124" s="137"/>
    </row>
    <row r="125" spans="1:20" ht="18.75">
      <c r="A125" s="137"/>
      <c r="B125" s="138"/>
      <c r="C125" s="139"/>
      <c r="D125" s="139"/>
      <c r="E125" s="137"/>
      <c r="F125" s="139"/>
      <c r="G125" s="107"/>
      <c r="H125" s="137"/>
      <c r="I125" s="137"/>
      <c r="J125" s="140"/>
      <c r="K125" s="141"/>
      <c r="L125" s="137"/>
      <c r="M125" s="137"/>
      <c r="N125" s="137"/>
      <c r="O125" s="137"/>
      <c r="P125" s="104"/>
      <c r="Q125" s="104"/>
      <c r="R125" s="137"/>
      <c r="S125" s="104"/>
      <c r="T125" s="137"/>
    </row>
    <row r="126" spans="1:20" ht="18.75">
      <c r="A126" s="137"/>
      <c r="B126" s="138"/>
      <c r="C126" s="139"/>
      <c r="D126" s="139"/>
      <c r="E126" s="137"/>
      <c r="F126" s="139"/>
      <c r="G126" s="107"/>
      <c r="H126" s="137"/>
      <c r="I126" s="137"/>
      <c r="J126" s="140"/>
      <c r="K126" s="141"/>
      <c r="L126" s="137"/>
      <c r="M126" s="137"/>
      <c r="N126" s="137"/>
      <c r="O126" s="137"/>
      <c r="P126" s="104"/>
      <c r="Q126" s="104"/>
      <c r="R126" s="137"/>
      <c r="S126" s="104"/>
      <c r="T126" s="137"/>
    </row>
    <row r="127" spans="1:20" ht="18.75">
      <c r="A127" s="137"/>
      <c r="B127" s="138"/>
      <c r="C127" s="139"/>
      <c r="D127" s="139"/>
      <c r="E127" s="137"/>
      <c r="F127" s="139"/>
      <c r="G127" s="107"/>
      <c r="H127" s="137"/>
      <c r="I127" s="137"/>
      <c r="J127" s="140"/>
      <c r="K127" s="141"/>
      <c r="L127" s="137"/>
      <c r="M127" s="137"/>
      <c r="N127" s="137"/>
      <c r="O127" s="137"/>
      <c r="P127" s="104"/>
      <c r="Q127" s="104"/>
      <c r="R127" s="137"/>
      <c r="S127" s="104"/>
      <c r="T127" s="137"/>
    </row>
    <row r="128" spans="1:20" ht="18.75">
      <c r="A128" s="137"/>
      <c r="B128" s="138"/>
      <c r="C128" s="139"/>
      <c r="D128" s="139"/>
      <c r="E128" s="137"/>
      <c r="F128" s="139"/>
      <c r="G128" s="107"/>
      <c r="H128" s="137"/>
      <c r="I128" s="137"/>
      <c r="J128" s="140"/>
      <c r="K128" s="141"/>
      <c r="L128" s="137"/>
      <c r="M128" s="137"/>
      <c r="N128" s="137"/>
      <c r="O128" s="137"/>
      <c r="P128" s="104"/>
      <c r="Q128" s="104"/>
      <c r="R128" s="137"/>
      <c r="S128" s="104"/>
      <c r="T128" s="137"/>
    </row>
    <row r="129" spans="1:20" ht="18.75">
      <c r="A129" s="137"/>
      <c r="B129" s="138"/>
      <c r="C129" s="139"/>
      <c r="D129" s="139"/>
      <c r="E129" s="137"/>
      <c r="F129" s="139"/>
      <c r="G129" s="107"/>
      <c r="H129" s="137"/>
      <c r="I129" s="137"/>
      <c r="J129" s="140"/>
      <c r="K129" s="141"/>
      <c r="L129" s="137"/>
      <c r="M129" s="137"/>
      <c r="N129" s="137"/>
      <c r="O129" s="137"/>
      <c r="P129" s="104"/>
      <c r="Q129" s="104"/>
      <c r="R129" s="137"/>
      <c r="S129" s="104"/>
      <c r="T129" s="137"/>
    </row>
    <row r="130" spans="1:20" ht="18.75">
      <c r="A130" s="137"/>
      <c r="B130" s="138"/>
      <c r="C130" s="139"/>
      <c r="D130" s="139"/>
      <c r="E130" s="137"/>
      <c r="F130" s="139"/>
      <c r="G130" s="107"/>
      <c r="H130" s="137"/>
      <c r="I130" s="137"/>
      <c r="J130" s="140"/>
      <c r="K130" s="141"/>
      <c r="L130" s="137"/>
      <c r="M130" s="137"/>
      <c r="N130" s="137"/>
      <c r="O130" s="137"/>
      <c r="P130" s="104"/>
      <c r="Q130" s="104"/>
      <c r="R130" s="137"/>
      <c r="S130" s="104"/>
      <c r="T130" s="137"/>
    </row>
    <row r="131" spans="1:20" ht="18.75">
      <c r="A131" s="137"/>
      <c r="B131" s="138"/>
      <c r="C131" s="139"/>
      <c r="D131" s="139"/>
      <c r="E131" s="137"/>
      <c r="F131" s="139"/>
      <c r="G131" s="107"/>
      <c r="H131" s="137"/>
      <c r="I131" s="137"/>
      <c r="J131" s="140"/>
      <c r="K131" s="141"/>
      <c r="L131" s="137"/>
      <c r="M131" s="137"/>
      <c r="N131" s="137"/>
      <c r="O131" s="137"/>
      <c r="P131" s="104"/>
      <c r="Q131" s="104"/>
      <c r="R131" s="137"/>
      <c r="S131" s="104"/>
      <c r="T131" s="137"/>
    </row>
    <row r="132" spans="1:20" ht="18.75">
      <c r="A132" s="137"/>
      <c r="B132" s="138"/>
      <c r="C132" s="139"/>
      <c r="D132" s="139"/>
      <c r="E132" s="137"/>
      <c r="F132" s="139"/>
      <c r="G132" s="107"/>
      <c r="H132" s="137"/>
      <c r="I132" s="137"/>
      <c r="J132" s="140"/>
      <c r="K132" s="141"/>
      <c r="L132" s="137"/>
      <c r="M132" s="137"/>
      <c r="N132" s="137"/>
      <c r="O132" s="137"/>
      <c r="P132" s="104"/>
      <c r="Q132" s="104"/>
      <c r="R132" s="137"/>
      <c r="S132" s="104"/>
      <c r="T132" s="137"/>
    </row>
    <row r="133" spans="1:20" ht="18.75">
      <c r="A133" s="137"/>
      <c r="B133" s="138"/>
      <c r="C133" s="139"/>
      <c r="D133" s="139"/>
      <c r="E133" s="137"/>
      <c r="F133" s="139"/>
      <c r="G133" s="107"/>
      <c r="H133" s="137"/>
      <c r="I133" s="137"/>
      <c r="J133" s="140"/>
      <c r="K133" s="141"/>
      <c r="L133" s="137"/>
      <c r="M133" s="137"/>
      <c r="N133" s="137"/>
      <c r="O133" s="137"/>
      <c r="P133" s="104"/>
      <c r="Q133" s="104"/>
      <c r="R133" s="137"/>
      <c r="S133" s="104"/>
      <c r="T133" s="137"/>
    </row>
    <row r="134" spans="1:20" ht="18.75">
      <c r="A134" s="137"/>
      <c r="B134" s="138"/>
      <c r="C134" s="139"/>
      <c r="D134" s="139"/>
      <c r="E134" s="137"/>
      <c r="F134" s="139"/>
      <c r="G134" s="107"/>
      <c r="H134" s="137"/>
      <c r="I134" s="137"/>
      <c r="J134" s="140"/>
      <c r="K134" s="141"/>
      <c r="L134" s="137"/>
      <c r="M134" s="137"/>
      <c r="N134" s="137"/>
      <c r="O134" s="137"/>
      <c r="P134" s="104"/>
      <c r="Q134" s="104"/>
      <c r="R134" s="137"/>
      <c r="S134" s="104"/>
      <c r="T134" s="137"/>
    </row>
    <row r="135" spans="1:20" ht="18.75">
      <c r="A135" s="137"/>
      <c r="B135" s="138"/>
      <c r="C135" s="139"/>
      <c r="D135" s="139"/>
      <c r="E135" s="137"/>
      <c r="F135" s="139"/>
      <c r="G135" s="107"/>
      <c r="H135" s="137"/>
      <c r="I135" s="137"/>
      <c r="J135" s="140"/>
      <c r="K135" s="141"/>
      <c r="L135" s="137"/>
      <c r="M135" s="137"/>
      <c r="N135" s="137"/>
      <c r="O135" s="137"/>
      <c r="P135" s="104"/>
      <c r="Q135" s="104"/>
      <c r="R135" s="137"/>
      <c r="S135" s="104"/>
      <c r="T135" s="137"/>
    </row>
    <row r="136" spans="1:20" ht="18.75">
      <c r="A136" s="137"/>
      <c r="B136" s="138"/>
      <c r="C136" s="139"/>
      <c r="D136" s="139"/>
      <c r="E136" s="137"/>
      <c r="F136" s="139"/>
      <c r="G136" s="107"/>
      <c r="H136" s="137"/>
      <c r="I136" s="137"/>
      <c r="J136" s="140"/>
      <c r="K136" s="141"/>
      <c r="L136" s="137"/>
      <c r="M136" s="137"/>
      <c r="N136" s="137"/>
      <c r="O136" s="137"/>
      <c r="P136" s="104"/>
      <c r="Q136" s="104"/>
      <c r="R136" s="137"/>
      <c r="S136" s="104"/>
      <c r="T136" s="137"/>
    </row>
    <row r="137" spans="1:20" ht="18.75">
      <c r="A137" s="137"/>
      <c r="B137" s="138"/>
      <c r="C137" s="139"/>
      <c r="D137" s="139"/>
      <c r="E137" s="137"/>
      <c r="F137" s="139"/>
      <c r="G137" s="107"/>
      <c r="H137" s="137"/>
      <c r="I137" s="137"/>
      <c r="J137" s="140"/>
      <c r="K137" s="141"/>
      <c r="L137" s="137"/>
      <c r="M137" s="137"/>
      <c r="N137" s="137"/>
      <c r="O137" s="137"/>
      <c r="P137" s="104"/>
      <c r="Q137" s="104"/>
      <c r="R137" s="137"/>
      <c r="S137" s="104"/>
      <c r="T137" s="137"/>
    </row>
    <row r="138" spans="1:20" ht="18.75">
      <c r="A138" s="137"/>
      <c r="B138" s="138"/>
      <c r="C138" s="139"/>
      <c r="D138" s="139"/>
      <c r="E138" s="137"/>
      <c r="F138" s="139"/>
      <c r="G138" s="107"/>
      <c r="H138" s="137"/>
      <c r="I138" s="137"/>
      <c r="J138" s="140"/>
      <c r="K138" s="141"/>
      <c r="L138" s="137"/>
      <c r="M138" s="137"/>
      <c r="N138" s="137"/>
      <c r="O138" s="137"/>
      <c r="P138" s="104"/>
      <c r="Q138" s="104"/>
      <c r="R138" s="137"/>
      <c r="S138" s="104"/>
      <c r="T138" s="137"/>
    </row>
    <row r="139" spans="1:20" ht="18.75">
      <c r="A139" s="137"/>
      <c r="B139" s="138"/>
      <c r="C139" s="139"/>
      <c r="D139" s="139"/>
      <c r="E139" s="137"/>
      <c r="F139" s="139"/>
      <c r="G139" s="107"/>
      <c r="H139" s="137"/>
      <c r="I139" s="137"/>
      <c r="J139" s="140"/>
      <c r="K139" s="141"/>
      <c r="L139" s="137"/>
      <c r="M139" s="137"/>
      <c r="N139" s="137"/>
      <c r="O139" s="137"/>
      <c r="P139" s="104"/>
      <c r="Q139" s="104"/>
      <c r="R139" s="137"/>
      <c r="S139" s="104"/>
      <c r="T139" s="137"/>
    </row>
    <row r="140" spans="1:20" ht="18.75">
      <c r="A140" s="137"/>
      <c r="B140" s="138"/>
      <c r="C140" s="139"/>
      <c r="D140" s="139"/>
      <c r="E140" s="137"/>
      <c r="F140" s="139"/>
      <c r="G140" s="107"/>
      <c r="H140" s="137"/>
      <c r="I140" s="137"/>
      <c r="J140" s="140"/>
      <c r="K140" s="141"/>
      <c r="L140" s="137"/>
      <c r="M140" s="137"/>
      <c r="N140" s="137"/>
      <c r="O140" s="137"/>
      <c r="P140" s="104"/>
      <c r="Q140" s="104"/>
      <c r="R140" s="137"/>
      <c r="S140" s="104"/>
      <c r="T140" s="137"/>
    </row>
    <row r="141" spans="1:20" ht="18.75">
      <c r="A141" s="137"/>
      <c r="B141" s="138"/>
      <c r="C141" s="139"/>
      <c r="D141" s="139"/>
      <c r="E141" s="137"/>
      <c r="F141" s="139"/>
      <c r="G141" s="107"/>
      <c r="H141" s="137"/>
      <c r="I141" s="137"/>
      <c r="J141" s="140"/>
      <c r="K141" s="141"/>
      <c r="L141" s="137"/>
      <c r="M141" s="137"/>
      <c r="N141" s="137"/>
      <c r="O141" s="137"/>
      <c r="P141" s="104"/>
      <c r="Q141" s="104"/>
      <c r="R141" s="137"/>
      <c r="S141" s="104"/>
      <c r="T141" s="137"/>
    </row>
    <row r="142" spans="1:20" ht="18.75">
      <c r="A142" s="137"/>
      <c r="B142" s="138"/>
      <c r="C142" s="139"/>
      <c r="D142" s="139"/>
      <c r="E142" s="137"/>
      <c r="F142" s="139"/>
      <c r="G142" s="107"/>
      <c r="H142" s="137"/>
      <c r="I142" s="137"/>
      <c r="J142" s="140"/>
      <c r="K142" s="141"/>
      <c r="L142" s="137"/>
      <c r="M142" s="137"/>
      <c r="N142" s="137"/>
      <c r="O142" s="137"/>
      <c r="P142" s="104"/>
      <c r="Q142" s="104"/>
      <c r="R142" s="137"/>
      <c r="S142" s="104"/>
      <c r="T142" s="137"/>
    </row>
    <row r="143" spans="1:20" ht="18.75">
      <c r="A143" s="137"/>
      <c r="B143" s="138"/>
      <c r="C143" s="139"/>
      <c r="D143" s="139"/>
      <c r="E143" s="137"/>
      <c r="F143" s="139"/>
      <c r="G143" s="107"/>
      <c r="H143" s="137"/>
      <c r="I143" s="137"/>
      <c r="J143" s="140"/>
      <c r="K143" s="141"/>
      <c r="L143" s="137"/>
      <c r="M143" s="137"/>
      <c r="N143" s="137"/>
      <c r="O143" s="137"/>
      <c r="P143" s="104"/>
      <c r="Q143" s="104"/>
      <c r="R143" s="137"/>
      <c r="S143" s="104"/>
      <c r="T143" s="137"/>
    </row>
    <row r="144" spans="1:20" ht="18.75">
      <c r="A144" s="137"/>
      <c r="B144" s="138"/>
      <c r="C144" s="139"/>
      <c r="D144" s="139"/>
      <c r="E144" s="137"/>
      <c r="F144" s="139"/>
      <c r="G144" s="107"/>
      <c r="H144" s="137"/>
      <c r="I144" s="137"/>
      <c r="J144" s="140"/>
      <c r="K144" s="141"/>
      <c r="L144" s="137"/>
      <c r="M144" s="137"/>
      <c r="N144" s="137"/>
      <c r="O144" s="137"/>
      <c r="P144" s="104"/>
      <c r="Q144" s="104"/>
      <c r="R144" s="137"/>
      <c r="S144" s="104"/>
      <c r="T144" s="137"/>
    </row>
    <row r="145" spans="1:20" ht="18.75">
      <c r="A145" s="137"/>
      <c r="B145" s="138"/>
      <c r="C145" s="139"/>
      <c r="D145" s="139"/>
      <c r="E145" s="137"/>
      <c r="F145" s="139"/>
      <c r="G145" s="107"/>
      <c r="H145" s="137"/>
      <c r="I145" s="137"/>
      <c r="J145" s="140"/>
      <c r="K145" s="141"/>
      <c r="L145" s="137"/>
      <c r="M145" s="137"/>
      <c r="N145" s="137"/>
      <c r="O145" s="137"/>
      <c r="P145" s="104"/>
      <c r="Q145" s="104"/>
      <c r="R145" s="137"/>
      <c r="S145" s="104"/>
      <c r="T145" s="137"/>
    </row>
    <row r="146" spans="1:20" ht="18.75">
      <c r="A146" s="137"/>
      <c r="B146" s="138"/>
      <c r="C146" s="139"/>
      <c r="D146" s="139"/>
      <c r="E146" s="137"/>
      <c r="F146" s="139"/>
      <c r="G146" s="107"/>
      <c r="H146" s="137"/>
      <c r="I146" s="137"/>
      <c r="J146" s="140"/>
      <c r="K146" s="141"/>
      <c r="L146" s="137"/>
      <c r="M146" s="137"/>
      <c r="N146" s="137"/>
      <c r="O146" s="137"/>
      <c r="P146" s="104"/>
      <c r="Q146" s="104"/>
      <c r="R146" s="137"/>
      <c r="S146" s="104"/>
      <c r="T146" s="137"/>
    </row>
    <row r="147" spans="1:20" ht="18.75">
      <c r="A147" s="137"/>
      <c r="B147" s="138"/>
      <c r="C147" s="139"/>
      <c r="D147" s="139"/>
      <c r="E147" s="137"/>
      <c r="F147" s="139"/>
      <c r="G147" s="107"/>
      <c r="H147" s="137"/>
      <c r="I147" s="137"/>
      <c r="J147" s="140"/>
      <c r="K147" s="141"/>
      <c r="L147" s="137"/>
      <c r="M147" s="137"/>
      <c r="N147" s="137"/>
      <c r="O147" s="137"/>
      <c r="P147" s="104"/>
      <c r="Q147" s="104"/>
      <c r="R147" s="137"/>
      <c r="S147" s="104"/>
      <c r="T147" s="137"/>
    </row>
    <row r="148" spans="1:20" ht="18.75">
      <c r="A148" s="137"/>
      <c r="B148" s="138"/>
      <c r="C148" s="139"/>
      <c r="D148" s="139"/>
      <c r="E148" s="137"/>
      <c r="F148" s="139"/>
      <c r="G148" s="107"/>
      <c r="H148" s="137"/>
      <c r="I148" s="137"/>
      <c r="J148" s="140"/>
      <c r="K148" s="141"/>
      <c r="L148" s="137"/>
      <c r="M148" s="137"/>
      <c r="N148" s="137"/>
      <c r="O148" s="137"/>
      <c r="P148" s="104"/>
      <c r="Q148" s="104"/>
      <c r="R148" s="137"/>
      <c r="S148" s="104"/>
      <c r="T148" s="137"/>
    </row>
    <row r="149" spans="1:20" ht="18.75">
      <c r="A149" s="137"/>
      <c r="B149" s="138"/>
      <c r="C149" s="139"/>
      <c r="D149" s="139"/>
      <c r="E149" s="137"/>
      <c r="F149" s="139"/>
      <c r="G149" s="107"/>
      <c r="H149" s="137"/>
      <c r="I149" s="137"/>
      <c r="J149" s="140"/>
      <c r="K149" s="141"/>
      <c r="L149" s="137"/>
      <c r="M149" s="137"/>
      <c r="N149" s="137"/>
      <c r="O149" s="137"/>
      <c r="P149" s="104"/>
      <c r="Q149" s="104"/>
      <c r="R149" s="137"/>
      <c r="S149" s="104"/>
      <c r="T149" s="137"/>
    </row>
    <row r="150" spans="1:20" ht="18.75">
      <c r="A150" s="137"/>
      <c r="B150" s="138"/>
      <c r="C150" s="139"/>
      <c r="D150" s="139"/>
      <c r="E150" s="137"/>
      <c r="F150" s="139"/>
      <c r="G150" s="107"/>
      <c r="H150" s="137"/>
      <c r="I150" s="137"/>
      <c r="J150" s="140"/>
      <c r="K150" s="141"/>
      <c r="L150" s="137"/>
      <c r="M150" s="137"/>
      <c r="N150" s="137"/>
      <c r="O150" s="137"/>
      <c r="P150" s="104"/>
      <c r="Q150" s="104"/>
      <c r="R150" s="137"/>
      <c r="S150" s="104"/>
      <c r="T150" s="137"/>
    </row>
    <row r="151" spans="1:20" ht="18.75">
      <c r="A151" s="137"/>
      <c r="B151" s="138"/>
      <c r="C151" s="139"/>
      <c r="D151" s="139"/>
      <c r="E151" s="137"/>
      <c r="F151" s="139"/>
      <c r="G151" s="107"/>
      <c r="H151" s="137"/>
      <c r="I151" s="137"/>
      <c r="J151" s="140"/>
      <c r="K151" s="141"/>
      <c r="L151" s="137"/>
      <c r="M151" s="137"/>
      <c r="N151" s="137"/>
      <c r="O151" s="137"/>
      <c r="P151" s="104"/>
      <c r="Q151" s="104"/>
      <c r="R151" s="137"/>
      <c r="S151" s="104"/>
      <c r="T151" s="137"/>
    </row>
    <row r="152" spans="1:20" ht="18.75">
      <c r="A152" s="137"/>
      <c r="B152" s="138"/>
      <c r="C152" s="139"/>
      <c r="D152" s="139"/>
      <c r="E152" s="137"/>
      <c r="F152" s="139"/>
      <c r="G152" s="107"/>
      <c r="H152" s="137"/>
      <c r="I152" s="137"/>
      <c r="J152" s="140"/>
      <c r="K152" s="141"/>
      <c r="L152" s="137"/>
      <c r="M152" s="137"/>
      <c r="N152" s="137"/>
      <c r="O152" s="137"/>
      <c r="P152" s="104"/>
      <c r="Q152" s="104"/>
      <c r="R152" s="137"/>
      <c r="S152" s="104"/>
      <c r="T152" s="137"/>
    </row>
    <row r="153" spans="1:20" ht="18.75">
      <c r="A153" s="137"/>
      <c r="B153" s="138"/>
      <c r="C153" s="139"/>
      <c r="D153" s="139"/>
      <c r="E153" s="137"/>
      <c r="F153" s="139"/>
      <c r="G153" s="107"/>
      <c r="H153" s="137"/>
      <c r="I153" s="137"/>
      <c r="J153" s="140"/>
      <c r="K153" s="141"/>
      <c r="L153" s="137"/>
      <c r="M153" s="137"/>
      <c r="N153" s="137"/>
      <c r="O153" s="137"/>
      <c r="P153" s="104"/>
      <c r="Q153" s="104"/>
      <c r="R153" s="137"/>
      <c r="S153" s="104"/>
      <c r="T153" s="137"/>
    </row>
    <row r="154" spans="1:20" ht="18.75">
      <c r="A154" s="137"/>
      <c r="B154" s="138"/>
      <c r="C154" s="139"/>
      <c r="D154" s="139"/>
      <c r="E154" s="137"/>
      <c r="F154" s="139"/>
      <c r="G154" s="107"/>
      <c r="H154" s="137"/>
      <c r="I154" s="137"/>
      <c r="J154" s="140"/>
      <c r="K154" s="141"/>
      <c r="L154" s="137"/>
      <c r="M154" s="137"/>
      <c r="N154" s="137"/>
      <c r="O154" s="137"/>
      <c r="P154" s="104"/>
      <c r="Q154" s="104"/>
      <c r="R154" s="137"/>
      <c r="S154" s="104"/>
      <c r="T154" s="137"/>
    </row>
    <row r="155" spans="1:20" ht="18.75">
      <c r="A155" s="137"/>
      <c r="B155" s="138"/>
      <c r="C155" s="139"/>
      <c r="D155" s="139"/>
      <c r="E155" s="137"/>
      <c r="F155" s="139"/>
      <c r="G155" s="107"/>
      <c r="H155" s="137"/>
      <c r="I155" s="137"/>
      <c r="J155" s="140"/>
      <c r="K155" s="141"/>
      <c r="L155" s="137"/>
      <c r="M155" s="137"/>
      <c r="N155" s="137"/>
      <c r="O155" s="137"/>
      <c r="P155" s="104"/>
      <c r="Q155" s="104"/>
      <c r="R155" s="137"/>
      <c r="S155" s="104"/>
      <c r="T155" s="137"/>
    </row>
    <row r="156" spans="1:20" ht="18.75">
      <c r="A156" s="137"/>
      <c r="B156" s="138"/>
      <c r="C156" s="139"/>
      <c r="D156" s="139"/>
      <c r="E156" s="137"/>
      <c r="F156" s="139"/>
      <c r="G156" s="107"/>
      <c r="H156" s="137"/>
      <c r="I156" s="137"/>
      <c r="J156" s="140"/>
      <c r="K156" s="141"/>
      <c r="L156" s="137"/>
      <c r="M156" s="137"/>
      <c r="N156" s="137"/>
      <c r="O156" s="137"/>
      <c r="P156" s="104"/>
      <c r="Q156" s="104"/>
      <c r="R156" s="137"/>
      <c r="S156" s="104"/>
      <c r="T156" s="137"/>
    </row>
    <row r="157" spans="1:20" ht="18.75">
      <c r="A157" s="137"/>
      <c r="B157" s="138"/>
      <c r="C157" s="139"/>
      <c r="D157" s="139"/>
      <c r="E157" s="137"/>
      <c r="F157" s="139"/>
      <c r="G157" s="107"/>
      <c r="H157" s="137"/>
      <c r="I157" s="137"/>
      <c r="J157" s="140"/>
      <c r="K157" s="141"/>
      <c r="L157" s="137"/>
      <c r="M157" s="137"/>
      <c r="N157" s="137"/>
      <c r="O157" s="137"/>
      <c r="P157" s="104"/>
      <c r="Q157" s="104"/>
      <c r="R157" s="137"/>
      <c r="S157" s="104"/>
      <c r="T157" s="137"/>
    </row>
    <row r="158" spans="1:20" ht="18.75">
      <c r="A158" s="137"/>
      <c r="B158" s="138"/>
      <c r="C158" s="139"/>
      <c r="D158" s="139"/>
      <c r="E158" s="137"/>
      <c r="F158" s="139"/>
      <c r="G158" s="107"/>
      <c r="H158" s="137"/>
      <c r="I158" s="137"/>
      <c r="J158" s="140"/>
      <c r="K158" s="141"/>
      <c r="L158" s="137"/>
      <c r="M158" s="137"/>
      <c r="N158" s="137"/>
      <c r="O158" s="137"/>
      <c r="P158" s="104"/>
      <c r="Q158" s="104"/>
      <c r="R158" s="137"/>
      <c r="S158" s="104"/>
      <c r="T158" s="137"/>
    </row>
    <row r="159" spans="1:20" ht="18.75">
      <c r="A159" s="137"/>
      <c r="B159" s="138"/>
      <c r="C159" s="139"/>
      <c r="D159" s="139"/>
      <c r="E159" s="137"/>
      <c r="F159" s="139"/>
      <c r="G159" s="107"/>
      <c r="H159" s="137"/>
      <c r="I159" s="137"/>
      <c r="J159" s="140"/>
      <c r="K159" s="141"/>
      <c r="L159" s="137"/>
      <c r="M159" s="137"/>
      <c r="N159" s="137"/>
      <c r="O159" s="137"/>
      <c r="P159" s="104"/>
      <c r="Q159" s="104"/>
      <c r="R159" s="137"/>
      <c r="S159" s="104"/>
      <c r="T159" s="137"/>
    </row>
    <row r="160" spans="1:20" ht="18.75">
      <c r="A160" s="137"/>
      <c r="B160" s="138"/>
      <c r="C160" s="139"/>
      <c r="D160" s="139"/>
      <c r="E160" s="137"/>
      <c r="F160" s="139"/>
      <c r="G160" s="107"/>
      <c r="H160" s="137"/>
      <c r="I160" s="137"/>
      <c r="J160" s="140"/>
      <c r="K160" s="141"/>
      <c r="L160" s="137"/>
      <c r="M160" s="137"/>
      <c r="N160" s="137"/>
      <c r="O160" s="137"/>
      <c r="P160" s="104"/>
      <c r="Q160" s="104"/>
      <c r="R160" s="137"/>
      <c r="S160" s="104"/>
      <c r="T160" s="137"/>
    </row>
    <row r="161" spans="1:20" ht="18.75">
      <c r="A161" s="137"/>
      <c r="B161" s="138"/>
      <c r="C161" s="139"/>
      <c r="D161" s="139"/>
      <c r="E161" s="137"/>
      <c r="F161" s="139"/>
      <c r="G161" s="107"/>
      <c r="H161" s="137"/>
      <c r="I161" s="137"/>
      <c r="J161" s="140"/>
      <c r="K161" s="141"/>
      <c r="L161" s="137"/>
      <c r="M161" s="137"/>
      <c r="N161" s="137"/>
      <c r="O161" s="137"/>
      <c r="P161" s="104"/>
      <c r="Q161" s="104"/>
      <c r="R161" s="137"/>
      <c r="S161" s="104"/>
      <c r="T161" s="137"/>
    </row>
    <row r="162" spans="1:20" ht="18.75">
      <c r="A162" s="137"/>
      <c r="B162" s="138"/>
      <c r="C162" s="139"/>
      <c r="D162" s="139"/>
      <c r="E162" s="137"/>
      <c r="F162" s="139"/>
      <c r="G162" s="107"/>
      <c r="H162" s="137"/>
      <c r="I162" s="137"/>
      <c r="J162" s="140"/>
      <c r="K162" s="141"/>
      <c r="L162" s="137"/>
      <c r="M162" s="137"/>
      <c r="N162" s="137"/>
      <c r="O162" s="137"/>
      <c r="P162" s="104"/>
      <c r="Q162" s="104"/>
      <c r="R162" s="137"/>
      <c r="S162" s="104"/>
      <c r="T162" s="137"/>
    </row>
    <row r="163" spans="1:20" ht="18.75">
      <c r="A163" s="137"/>
      <c r="B163" s="138"/>
      <c r="C163" s="139"/>
      <c r="D163" s="139"/>
      <c r="E163" s="137"/>
      <c r="F163" s="139"/>
      <c r="G163" s="107"/>
      <c r="H163" s="137"/>
      <c r="I163" s="137"/>
      <c r="J163" s="140"/>
      <c r="K163" s="141"/>
      <c r="L163" s="137"/>
      <c r="M163" s="137"/>
      <c r="N163" s="137"/>
      <c r="O163" s="137"/>
      <c r="P163" s="104"/>
      <c r="Q163" s="104"/>
      <c r="R163" s="137"/>
      <c r="S163" s="104"/>
      <c r="T163" s="137"/>
    </row>
    <row r="164" spans="1:20" ht="18.75">
      <c r="A164" s="137"/>
      <c r="B164" s="138"/>
      <c r="C164" s="139"/>
      <c r="D164" s="139"/>
      <c r="E164" s="137"/>
      <c r="F164" s="139"/>
      <c r="G164" s="107"/>
      <c r="H164" s="137"/>
      <c r="I164" s="137"/>
      <c r="J164" s="140"/>
      <c r="K164" s="141"/>
      <c r="L164" s="137"/>
      <c r="M164" s="137"/>
      <c r="N164" s="137"/>
      <c r="O164" s="137"/>
      <c r="P164" s="104"/>
      <c r="Q164" s="104"/>
      <c r="R164" s="137"/>
      <c r="S164" s="104"/>
      <c r="T164" s="137"/>
    </row>
    <row r="165" spans="1:20" ht="18.75">
      <c r="A165" s="137"/>
      <c r="B165" s="138"/>
      <c r="C165" s="139"/>
      <c r="D165" s="139"/>
      <c r="E165" s="137"/>
      <c r="F165" s="139"/>
      <c r="G165" s="107"/>
      <c r="H165" s="137"/>
      <c r="I165" s="137"/>
      <c r="J165" s="140"/>
      <c r="K165" s="141"/>
      <c r="L165" s="137"/>
      <c r="M165" s="137"/>
      <c r="N165" s="137"/>
      <c r="O165" s="137"/>
      <c r="P165" s="104"/>
      <c r="Q165" s="104"/>
      <c r="R165" s="137"/>
      <c r="S165" s="104"/>
      <c r="T165" s="137"/>
    </row>
    <row r="166" spans="1:20" ht="18.75">
      <c r="A166" s="137"/>
      <c r="B166" s="138"/>
      <c r="C166" s="139"/>
      <c r="D166" s="139"/>
      <c r="E166" s="137"/>
      <c r="F166" s="139"/>
      <c r="G166" s="107"/>
      <c r="H166" s="137"/>
      <c r="I166" s="137"/>
      <c r="J166" s="140"/>
      <c r="K166" s="141"/>
      <c r="L166" s="137"/>
      <c r="M166" s="137"/>
      <c r="N166" s="137"/>
      <c r="O166" s="137"/>
      <c r="P166" s="104"/>
      <c r="Q166" s="104"/>
      <c r="R166" s="137"/>
      <c r="S166" s="104"/>
      <c r="T166" s="137"/>
    </row>
    <row r="167" spans="1:20" ht="18.75">
      <c r="A167" s="137"/>
      <c r="B167" s="138"/>
      <c r="C167" s="139"/>
      <c r="D167" s="139"/>
      <c r="E167" s="137"/>
      <c r="F167" s="139"/>
      <c r="G167" s="107"/>
      <c r="H167" s="137"/>
      <c r="I167" s="137"/>
      <c r="J167" s="140"/>
      <c r="K167" s="141"/>
      <c r="L167" s="137"/>
      <c r="M167" s="137"/>
      <c r="N167" s="137"/>
      <c r="O167" s="137"/>
      <c r="P167" s="104"/>
      <c r="Q167" s="104"/>
      <c r="R167" s="137"/>
      <c r="S167" s="104"/>
      <c r="T167" s="137"/>
    </row>
    <row r="168" spans="1:20" ht="18.75">
      <c r="A168" s="137"/>
      <c r="B168" s="138"/>
      <c r="C168" s="139"/>
      <c r="D168" s="139"/>
      <c r="E168" s="137"/>
      <c r="F168" s="139"/>
      <c r="G168" s="107"/>
      <c r="H168" s="137"/>
      <c r="I168" s="137"/>
      <c r="J168" s="140"/>
      <c r="K168" s="141"/>
      <c r="L168" s="137"/>
      <c r="M168" s="137"/>
      <c r="N168" s="137"/>
      <c r="O168" s="137"/>
      <c r="P168" s="104"/>
      <c r="Q168" s="104"/>
      <c r="R168" s="137"/>
      <c r="S168" s="104"/>
      <c r="T168" s="137"/>
    </row>
    <row r="169" spans="1:20" ht="18.75">
      <c r="A169" s="137"/>
      <c r="B169" s="138"/>
      <c r="C169" s="139"/>
      <c r="D169" s="139"/>
      <c r="E169" s="137"/>
      <c r="F169" s="139"/>
      <c r="G169" s="107"/>
      <c r="H169" s="137"/>
      <c r="I169" s="137"/>
      <c r="J169" s="140"/>
      <c r="K169" s="141"/>
      <c r="L169" s="137"/>
      <c r="M169" s="137"/>
      <c r="N169" s="137"/>
      <c r="O169" s="137"/>
      <c r="P169" s="104"/>
      <c r="Q169" s="104"/>
      <c r="R169" s="137"/>
      <c r="S169" s="104"/>
      <c r="T169" s="137"/>
    </row>
    <row r="170" spans="1:20" ht="18.75">
      <c r="A170" s="137"/>
      <c r="B170" s="138"/>
      <c r="C170" s="139"/>
      <c r="D170" s="139"/>
      <c r="E170" s="137"/>
      <c r="F170" s="139"/>
      <c r="G170" s="107"/>
      <c r="H170" s="137"/>
      <c r="I170" s="137"/>
      <c r="J170" s="140"/>
      <c r="K170" s="141"/>
      <c r="L170" s="137"/>
      <c r="M170" s="137"/>
      <c r="N170" s="137"/>
      <c r="O170" s="137"/>
      <c r="P170" s="104"/>
      <c r="Q170" s="104"/>
      <c r="R170" s="137"/>
      <c r="S170" s="104"/>
      <c r="T170" s="137"/>
    </row>
    <row r="171" spans="1:20" ht="18.75">
      <c r="A171" s="137"/>
      <c r="B171" s="138"/>
      <c r="C171" s="139"/>
      <c r="D171" s="139"/>
      <c r="E171" s="137"/>
      <c r="F171" s="139"/>
      <c r="G171" s="107"/>
      <c r="H171" s="137"/>
      <c r="I171" s="137"/>
      <c r="J171" s="140"/>
      <c r="K171" s="141"/>
      <c r="L171" s="137"/>
      <c r="M171" s="137"/>
      <c r="N171" s="137"/>
      <c r="O171" s="137"/>
      <c r="P171" s="104"/>
      <c r="Q171" s="104"/>
      <c r="R171" s="137"/>
      <c r="S171" s="104"/>
      <c r="T171" s="137"/>
    </row>
    <row r="172" spans="1:20" ht="18.75">
      <c r="A172" s="137"/>
      <c r="B172" s="138"/>
      <c r="C172" s="139"/>
      <c r="D172" s="139"/>
      <c r="E172" s="137"/>
      <c r="F172" s="139"/>
      <c r="G172" s="107"/>
      <c r="H172" s="137"/>
      <c r="I172" s="137"/>
      <c r="J172" s="140"/>
      <c r="K172" s="141"/>
      <c r="L172" s="137"/>
      <c r="M172" s="137"/>
      <c r="N172" s="137"/>
      <c r="O172" s="137"/>
      <c r="P172" s="104"/>
      <c r="Q172" s="104"/>
      <c r="R172" s="137"/>
      <c r="S172" s="104"/>
      <c r="T172" s="137"/>
    </row>
    <row r="173" spans="1:20" ht="18.75">
      <c r="A173" s="137"/>
      <c r="B173" s="138"/>
      <c r="C173" s="139"/>
      <c r="D173" s="139"/>
      <c r="E173" s="137"/>
      <c r="F173" s="139"/>
      <c r="G173" s="107"/>
      <c r="H173" s="137"/>
      <c r="I173" s="137"/>
      <c r="J173" s="140"/>
      <c r="K173" s="141"/>
      <c r="L173" s="137"/>
      <c r="M173" s="137"/>
      <c r="N173" s="137"/>
      <c r="O173" s="137"/>
      <c r="P173" s="104"/>
      <c r="Q173" s="104"/>
      <c r="R173" s="137"/>
      <c r="S173" s="104"/>
      <c r="T173" s="137"/>
    </row>
    <row r="174" spans="1:20" ht="18.75">
      <c r="A174" s="137"/>
      <c r="B174" s="138"/>
      <c r="C174" s="139"/>
      <c r="D174" s="139"/>
      <c r="E174" s="137"/>
      <c r="F174" s="139"/>
      <c r="G174" s="107"/>
      <c r="H174" s="137"/>
      <c r="I174" s="137"/>
      <c r="J174" s="140"/>
      <c r="K174" s="141"/>
      <c r="L174" s="137"/>
      <c r="M174" s="137"/>
      <c r="N174" s="137"/>
      <c r="O174" s="137"/>
      <c r="P174" s="104"/>
      <c r="Q174" s="104"/>
      <c r="R174" s="137"/>
      <c r="S174" s="104"/>
      <c r="T174" s="137"/>
    </row>
    <row r="175" spans="1:20" ht="18.75">
      <c r="A175" s="137"/>
      <c r="B175" s="138"/>
      <c r="C175" s="139"/>
      <c r="D175" s="139"/>
      <c r="E175" s="137"/>
      <c r="F175" s="139"/>
      <c r="G175" s="107"/>
      <c r="H175" s="137"/>
      <c r="I175" s="137"/>
      <c r="J175" s="140"/>
      <c r="K175" s="141"/>
      <c r="L175" s="137"/>
      <c r="M175" s="137"/>
      <c r="N175" s="137"/>
      <c r="O175" s="137"/>
      <c r="P175" s="104"/>
      <c r="Q175" s="104"/>
      <c r="R175" s="137"/>
      <c r="S175" s="104"/>
      <c r="T175" s="137"/>
    </row>
    <row r="176" spans="1:20" ht="18.75">
      <c r="A176" s="137"/>
      <c r="B176" s="138"/>
      <c r="C176" s="139"/>
      <c r="D176" s="139"/>
      <c r="E176" s="137"/>
      <c r="F176" s="139"/>
      <c r="G176" s="107"/>
      <c r="H176" s="137"/>
      <c r="I176" s="137"/>
      <c r="J176" s="140"/>
      <c r="K176" s="141"/>
      <c r="L176" s="137"/>
      <c r="M176" s="137"/>
      <c r="N176" s="137"/>
      <c r="O176" s="137"/>
      <c r="P176" s="104"/>
      <c r="Q176" s="104"/>
      <c r="R176" s="137"/>
      <c r="S176" s="104"/>
      <c r="T176" s="137"/>
    </row>
    <row r="177" spans="1:20" ht="18.75">
      <c r="A177" s="137"/>
      <c r="B177" s="138"/>
      <c r="C177" s="139"/>
      <c r="D177" s="139"/>
      <c r="E177" s="137"/>
      <c r="F177" s="139"/>
      <c r="G177" s="107"/>
      <c r="H177" s="137"/>
      <c r="I177" s="137"/>
      <c r="J177" s="140"/>
      <c r="K177" s="141"/>
      <c r="L177" s="137"/>
      <c r="M177" s="137"/>
      <c r="N177" s="137"/>
      <c r="O177" s="137"/>
      <c r="P177" s="104"/>
      <c r="Q177" s="104"/>
      <c r="R177" s="137"/>
      <c r="S177" s="104"/>
      <c r="T177" s="137"/>
    </row>
    <row r="178" spans="1:20" ht="18.75">
      <c r="A178" s="137"/>
      <c r="B178" s="138"/>
      <c r="C178" s="139"/>
      <c r="D178" s="139"/>
      <c r="E178" s="137"/>
      <c r="F178" s="139"/>
      <c r="G178" s="107"/>
      <c r="H178" s="137"/>
      <c r="I178" s="137"/>
      <c r="J178" s="140"/>
      <c r="K178" s="141"/>
      <c r="L178" s="137"/>
      <c r="M178" s="137"/>
      <c r="N178" s="137"/>
      <c r="O178" s="137"/>
      <c r="P178" s="104"/>
      <c r="Q178" s="104"/>
      <c r="R178" s="137"/>
      <c r="S178" s="104"/>
      <c r="T178" s="137"/>
    </row>
    <row r="179" spans="1:20" ht="18.75">
      <c r="A179" s="137"/>
      <c r="B179" s="138"/>
      <c r="C179" s="139"/>
      <c r="D179" s="139"/>
      <c r="E179" s="137"/>
      <c r="F179" s="139"/>
      <c r="G179" s="107"/>
      <c r="H179" s="137"/>
      <c r="I179" s="137"/>
      <c r="J179" s="140"/>
      <c r="K179" s="141"/>
      <c r="L179" s="137"/>
      <c r="M179" s="137"/>
      <c r="N179" s="137"/>
      <c r="O179" s="137"/>
      <c r="P179" s="104"/>
      <c r="Q179" s="104"/>
      <c r="R179" s="137"/>
      <c r="S179" s="104"/>
      <c r="T179" s="137"/>
    </row>
    <row r="180" spans="1:20" ht="18.75">
      <c r="A180" s="137"/>
      <c r="B180" s="138"/>
      <c r="C180" s="139"/>
      <c r="D180" s="139"/>
      <c r="E180" s="137"/>
      <c r="F180" s="139"/>
      <c r="G180" s="107"/>
      <c r="H180" s="137"/>
      <c r="I180" s="137"/>
      <c r="J180" s="140"/>
      <c r="K180" s="141"/>
      <c r="L180" s="137"/>
      <c r="M180" s="137"/>
      <c r="N180" s="137"/>
      <c r="O180" s="137"/>
      <c r="P180" s="104"/>
      <c r="Q180" s="104"/>
      <c r="R180" s="137"/>
      <c r="S180" s="104"/>
      <c r="T180" s="137"/>
    </row>
    <row r="181" spans="1:20" ht="18.75">
      <c r="A181" s="137"/>
      <c r="B181" s="138"/>
      <c r="C181" s="139"/>
      <c r="D181" s="139"/>
      <c r="E181" s="137"/>
      <c r="F181" s="139"/>
      <c r="G181" s="107"/>
      <c r="H181" s="137"/>
      <c r="I181" s="137"/>
      <c r="J181" s="140"/>
      <c r="K181" s="141"/>
      <c r="L181" s="137"/>
      <c r="M181" s="137"/>
      <c r="N181" s="137"/>
      <c r="O181" s="137"/>
      <c r="P181" s="104"/>
      <c r="Q181" s="104"/>
      <c r="R181" s="137"/>
      <c r="S181" s="104"/>
      <c r="T181" s="137"/>
    </row>
    <row r="182" spans="1:20" ht="18.75">
      <c r="A182" s="137"/>
      <c r="B182" s="138"/>
      <c r="C182" s="139"/>
      <c r="D182" s="139"/>
      <c r="E182" s="137"/>
      <c r="F182" s="139"/>
      <c r="G182" s="107"/>
      <c r="H182" s="137"/>
      <c r="I182" s="137"/>
      <c r="J182" s="140"/>
      <c r="K182" s="141"/>
      <c r="L182" s="137"/>
      <c r="M182" s="137"/>
      <c r="N182" s="137"/>
      <c r="O182" s="137"/>
      <c r="P182" s="104"/>
      <c r="Q182" s="104"/>
      <c r="R182" s="137"/>
      <c r="S182" s="104"/>
      <c r="T182" s="137"/>
    </row>
    <row r="183" spans="1:20" ht="18.75">
      <c r="A183" s="137"/>
      <c r="B183" s="138"/>
      <c r="C183" s="139"/>
      <c r="D183" s="139"/>
      <c r="E183" s="137"/>
      <c r="F183" s="139"/>
      <c r="G183" s="107"/>
      <c r="H183" s="137"/>
      <c r="I183" s="137"/>
      <c r="J183" s="140"/>
      <c r="K183" s="141"/>
      <c r="L183" s="137"/>
      <c r="M183" s="137"/>
      <c r="N183" s="137"/>
      <c r="O183" s="137"/>
      <c r="P183" s="104"/>
      <c r="Q183" s="104"/>
      <c r="R183" s="137"/>
      <c r="S183" s="104"/>
      <c r="T183" s="137"/>
    </row>
    <row r="184" spans="1:20" ht="18.75">
      <c r="A184" s="137"/>
      <c r="B184" s="138"/>
      <c r="C184" s="139"/>
      <c r="D184" s="139"/>
      <c r="E184" s="137"/>
      <c r="F184" s="139"/>
      <c r="G184" s="107"/>
      <c r="H184" s="137"/>
      <c r="I184" s="137"/>
      <c r="J184" s="140"/>
      <c r="K184" s="141"/>
      <c r="L184" s="137"/>
      <c r="M184" s="137"/>
      <c r="N184" s="137"/>
      <c r="O184" s="137"/>
      <c r="P184" s="104"/>
      <c r="Q184" s="104"/>
      <c r="R184" s="137"/>
      <c r="S184" s="104"/>
      <c r="T184" s="137"/>
    </row>
    <row r="185" spans="1:20" ht="18.75">
      <c r="A185" s="137"/>
      <c r="B185" s="138"/>
      <c r="C185" s="139"/>
      <c r="D185" s="139"/>
      <c r="E185" s="137"/>
      <c r="F185" s="139"/>
      <c r="G185" s="107"/>
      <c r="H185" s="137"/>
      <c r="I185" s="137"/>
      <c r="J185" s="140"/>
      <c r="K185" s="141"/>
      <c r="L185" s="137"/>
      <c r="M185" s="137"/>
      <c r="N185" s="137"/>
      <c r="O185" s="137"/>
      <c r="P185" s="104"/>
      <c r="Q185" s="104"/>
      <c r="R185" s="137"/>
      <c r="S185" s="104"/>
      <c r="T185" s="137"/>
    </row>
    <row r="186" spans="1:20" ht="18.75">
      <c r="A186" s="137"/>
      <c r="B186" s="138"/>
      <c r="C186" s="139"/>
      <c r="D186" s="139"/>
      <c r="E186" s="137"/>
      <c r="F186" s="139"/>
      <c r="G186" s="107"/>
      <c r="H186" s="137"/>
      <c r="I186" s="137"/>
      <c r="J186" s="140"/>
      <c r="K186" s="141"/>
      <c r="L186" s="137"/>
      <c r="M186" s="137"/>
      <c r="N186" s="137"/>
      <c r="O186" s="137"/>
      <c r="P186" s="104"/>
      <c r="Q186" s="104"/>
      <c r="R186" s="137"/>
      <c r="S186" s="104"/>
      <c r="T186" s="137"/>
    </row>
    <row r="187" spans="1:20" ht="18.75">
      <c r="A187" s="137"/>
      <c r="B187" s="138"/>
      <c r="C187" s="139"/>
      <c r="D187" s="139"/>
      <c r="E187" s="137"/>
      <c r="F187" s="139"/>
      <c r="G187" s="107"/>
      <c r="H187" s="137"/>
      <c r="I187" s="137"/>
      <c r="J187" s="140"/>
      <c r="K187" s="141"/>
      <c r="L187" s="137"/>
      <c r="M187" s="137"/>
      <c r="N187" s="137"/>
      <c r="O187" s="137"/>
      <c r="P187" s="104"/>
      <c r="Q187" s="104"/>
      <c r="R187" s="137"/>
      <c r="S187" s="104"/>
      <c r="T187" s="137"/>
    </row>
    <row r="188" spans="1:20" ht="18.75">
      <c r="A188" s="137"/>
      <c r="B188" s="138"/>
      <c r="C188" s="139"/>
      <c r="D188" s="139"/>
      <c r="E188" s="137"/>
      <c r="F188" s="139"/>
      <c r="G188" s="107"/>
      <c r="H188" s="137"/>
      <c r="I188" s="137"/>
      <c r="J188" s="140"/>
      <c r="K188" s="141"/>
      <c r="L188" s="137"/>
      <c r="M188" s="137"/>
      <c r="N188" s="137"/>
      <c r="O188" s="137"/>
      <c r="P188" s="104"/>
      <c r="Q188" s="104"/>
      <c r="R188" s="137"/>
      <c r="S188" s="104"/>
      <c r="T188" s="137"/>
    </row>
    <row r="189" spans="1:20" ht="18.75">
      <c r="A189" s="137"/>
      <c r="B189" s="138"/>
      <c r="C189" s="139"/>
      <c r="D189" s="139"/>
      <c r="E189" s="137"/>
      <c r="F189" s="139"/>
      <c r="G189" s="107"/>
      <c r="H189" s="137"/>
      <c r="I189" s="137"/>
      <c r="J189" s="140"/>
      <c r="K189" s="141"/>
      <c r="L189" s="137"/>
      <c r="M189" s="137"/>
      <c r="N189" s="137"/>
      <c r="O189" s="137"/>
      <c r="P189" s="104"/>
      <c r="Q189" s="104"/>
      <c r="R189" s="137"/>
      <c r="S189" s="104"/>
      <c r="T189" s="137"/>
    </row>
    <row r="190" spans="1:20" ht="18.75">
      <c r="A190" s="137"/>
      <c r="B190" s="138"/>
      <c r="C190" s="139"/>
      <c r="D190" s="139"/>
      <c r="E190" s="137"/>
      <c r="F190" s="139"/>
      <c r="G190" s="107"/>
      <c r="H190" s="137"/>
      <c r="I190" s="137"/>
      <c r="J190" s="140"/>
      <c r="K190" s="141"/>
      <c r="L190" s="137"/>
      <c r="M190" s="137"/>
      <c r="N190" s="137"/>
      <c r="O190" s="137"/>
      <c r="P190" s="104"/>
      <c r="Q190" s="104"/>
      <c r="R190" s="137"/>
      <c r="S190" s="104"/>
      <c r="T190" s="137"/>
    </row>
    <row r="191" spans="1:20" ht="18.75">
      <c r="A191" s="137"/>
      <c r="B191" s="138"/>
      <c r="C191" s="139"/>
      <c r="D191" s="139"/>
      <c r="E191" s="137"/>
      <c r="F191" s="139"/>
      <c r="G191" s="107"/>
      <c r="H191" s="137"/>
      <c r="I191" s="137"/>
      <c r="J191" s="140"/>
      <c r="K191" s="141"/>
      <c r="L191" s="137"/>
      <c r="M191" s="137"/>
      <c r="N191" s="137"/>
      <c r="O191" s="137"/>
      <c r="P191" s="104"/>
      <c r="Q191" s="104"/>
      <c r="R191" s="137"/>
      <c r="S191" s="104"/>
      <c r="T191" s="137"/>
    </row>
    <row r="192" spans="1:20" ht="18.75">
      <c r="A192" s="137"/>
      <c r="B192" s="138"/>
      <c r="C192" s="139"/>
      <c r="D192" s="139"/>
      <c r="E192" s="137"/>
      <c r="F192" s="139"/>
      <c r="G192" s="107"/>
      <c r="H192" s="137"/>
      <c r="I192" s="137"/>
      <c r="J192" s="140"/>
      <c r="K192" s="141"/>
      <c r="L192" s="137"/>
      <c r="M192" s="137"/>
      <c r="N192" s="137"/>
      <c r="O192" s="137"/>
      <c r="P192" s="104"/>
      <c r="Q192" s="104"/>
      <c r="R192" s="137"/>
      <c r="S192" s="104"/>
      <c r="T192" s="137"/>
    </row>
    <row r="193" spans="1:20" ht="18.75">
      <c r="A193" s="137"/>
      <c r="B193" s="138"/>
      <c r="C193" s="139"/>
      <c r="D193" s="139"/>
      <c r="E193" s="137"/>
      <c r="F193" s="139"/>
      <c r="G193" s="107"/>
      <c r="H193" s="137"/>
      <c r="I193" s="137"/>
      <c r="J193" s="140"/>
      <c r="K193" s="141"/>
      <c r="L193" s="137"/>
      <c r="M193" s="137"/>
      <c r="N193" s="137"/>
      <c r="O193" s="137"/>
      <c r="P193" s="104"/>
      <c r="Q193" s="104"/>
      <c r="R193" s="137"/>
      <c r="S193" s="104"/>
      <c r="T193" s="137"/>
    </row>
    <row r="194" spans="1:20" ht="18.75">
      <c r="A194" s="137"/>
      <c r="B194" s="138"/>
      <c r="C194" s="139"/>
      <c r="D194" s="139"/>
      <c r="E194" s="137"/>
      <c r="F194" s="139"/>
      <c r="G194" s="107"/>
      <c r="H194" s="137"/>
      <c r="I194" s="137"/>
      <c r="J194" s="140"/>
      <c r="K194" s="141"/>
      <c r="L194" s="137"/>
      <c r="M194" s="137"/>
      <c r="N194" s="137"/>
      <c r="O194" s="137"/>
      <c r="P194" s="104"/>
      <c r="Q194" s="104"/>
      <c r="R194" s="137"/>
      <c r="S194" s="104"/>
      <c r="T194" s="137"/>
    </row>
    <row r="195" spans="1:20" ht="18.75">
      <c r="A195" s="137"/>
      <c r="B195" s="138"/>
      <c r="C195" s="139"/>
      <c r="D195" s="139"/>
      <c r="E195" s="137"/>
      <c r="F195" s="139"/>
      <c r="G195" s="107"/>
      <c r="H195" s="137"/>
      <c r="I195" s="137"/>
      <c r="J195" s="140"/>
      <c r="K195" s="141"/>
      <c r="L195" s="137"/>
      <c r="M195" s="137"/>
      <c r="N195" s="137"/>
      <c r="O195" s="137"/>
      <c r="P195" s="104"/>
      <c r="Q195" s="104"/>
      <c r="R195" s="137"/>
      <c r="S195" s="104"/>
      <c r="T195" s="137"/>
    </row>
    <row r="196" spans="1:20" ht="18.75">
      <c r="A196" s="137"/>
      <c r="B196" s="138"/>
      <c r="C196" s="139"/>
      <c r="D196" s="139"/>
      <c r="E196" s="137"/>
      <c r="F196" s="139"/>
      <c r="G196" s="107"/>
      <c r="H196" s="137"/>
      <c r="I196" s="137"/>
      <c r="J196" s="140"/>
      <c r="K196" s="141"/>
      <c r="L196" s="137"/>
      <c r="M196" s="137"/>
      <c r="N196" s="137"/>
      <c r="O196" s="137"/>
      <c r="P196" s="104"/>
      <c r="Q196" s="104"/>
      <c r="R196" s="137"/>
      <c r="S196" s="104"/>
      <c r="T196" s="137"/>
    </row>
    <row r="197" spans="1:20" ht="18.75">
      <c r="A197" s="137"/>
      <c r="B197" s="138"/>
      <c r="C197" s="139"/>
      <c r="D197" s="139"/>
      <c r="E197" s="137"/>
      <c r="F197" s="139"/>
      <c r="G197" s="107"/>
      <c r="H197" s="137"/>
      <c r="I197" s="137"/>
      <c r="J197" s="140"/>
      <c r="K197" s="141"/>
      <c r="L197" s="137"/>
      <c r="M197" s="137"/>
      <c r="N197" s="137"/>
      <c r="O197" s="137"/>
      <c r="P197" s="104"/>
      <c r="Q197" s="104"/>
      <c r="R197" s="137"/>
      <c r="S197" s="104"/>
      <c r="T197" s="137"/>
    </row>
    <row r="198" spans="1:20" ht="18.75">
      <c r="A198" s="137"/>
      <c r="B198" s="138"/>
      <c r="C198" s="139"/>
      <c r="D198" s="139"/>
      <c r="E198" s="137"/>
      <c r="F198" s="139"/>
      <c r="G198" s="107"/>
      <c r="H198" s="137"/>
      <c r="I198" s="137"/>
      <c r="J198" s="140"/>
      <c r="K198" s="141"/>
      <c r="L198" s="137"/>
      <c r="M198" s="137"/>
      <c r="N198" s="137"/>
      <c r="O198" s="137"/>
      <c r="P198" s="104"/>
      <c r="Q198" s="104"/>
      <c r="R198" s="137"/>
      <c r="S198" s="104"/>
      <c r="T198" s="137"/>
    </row>
    <row r="199" spans="1:20" ht="18.75">
      <c r="A199" s="137"/>
      <c r="B199" s="138"/>
      <c r="C199" s="139"/>
      <c r="D199" s="139"/>
      <c r="E199" s="137"/>
      <c r="F199" s="139"/>
      <c r="G199" s="107"/>
      <c r="H199" s="137"/>
      <c r="I199" s="137"/>
      <c r="J199" s="140"/>
      <c r="K199" s="141"/>
      <c r="L199" s="137"/>
      <c r="M199" s="137"/>
      <c r="N199" s="137"/>
      <c r="O199" s="137"/>
      <c r="P199" s="104"/>
      <c r="Q199" s="104"/>
      <c r="R199" s="137"/>
      <c r="S199" s="104"/>
      <c r="T199" s="137"/>
    </row>
    <row r="200" spans="1:20" ht="18.75">
      <c r="A200" s="137"/>
      <c r="B200" s="138"/>
      <c r="C200" s="139"/>
      <c r="D200" s="139"/>
      <c r="E200" s="137"/>
      <c r="F200" s="139"/>
      <c r="G200" s="107"/>
      <c r="H200" s="137"/>
      <c r="I200" s="137"/>
      <c r="J200" s="140"/>
      <c r="K200" s="141"/>
      <c r="L200" s="137"/>
      <c r="M200" s="137"/>
      <c r="N200" s="137"/>
      <c r="O200" s="137"/>
      <c r="P200" s="104"/>
      <c r="Q200" s="104"/>
      <c r="R200" s="137"/>
      <c r="S200" s="104"/>
      <c r="T200" s="137"/>
    </row>
    <row r="201" spans="1:20" ht="18.75">
      <c r="A201" s="137"/>
      <c r="B201" s="138"/>
      <c r="C201" s="139"/>
      <c r="D201" s="139"/>
      <c r="E201" s="137"/>
      <c r="F201" s="139"/>
      <c r="G201" s="107"/>
      <c r="H201" s="137"/>
      <c r="I201" s="137"/>
      <c r="J201" s="140"/>
      <c r="K201" s="141"/>
      <c r="L201" s="137"/>
      <c r="M201" s="137"/>
      <c r="N201" s="137"/>
      <c r="O201" s="137"/>
      <c r="P201" s="104"/>
      <c r="Q201" s="104"/>
      <c r="R201" s="137"/>
      <c r="S201" s="104"/>
      <c r="T201" s="137"/>
    </row>
    <row r="202" spans="1:20" ht="18.75">
      <c r="A202" s="137"/>
      <c r="B202" s="138"/>
      <c r="C202" s="139"/>
      <c r="D202" s="139"/>
      <c r="E202" s="137"/>
      <c r="F202" s="139"/>
      <c r="G202" s="107"/>
      <c r="H202" s="137"/>
      <c r="I202" s="137"/>
      <c r="J202" s="140"/>
      <c r="K202" s="141"/>
      <c r="L202" s="137"/>
      <c r="M202" s="137"/>
      <c r="N202" s="137"/>
      <c r="O202" s="137"/>
      <c r="P202" s="104"/>
      <c r="Q202" s="104"/>
      <c r="R202" s="137"/>
      <c r="S202" s="104"/>
      <c r="T202" s="137"/>
    </row>
    <row r="203" spans="1:20" ht="18.75">
      <c r="A203" s="137"/>
      <c r="B203" s="138"/>
      <c r="C203" s="139"/>
      <c r="D203" s="139"/>
      <c r="E203" s="137"/>
      <c r="F203" s="139"/>
      <c r="G203" s="107"/>
      <c r="H203" s="137"/>
      <c r="I203" s="137"/>
      <c r="J203" s="140"/>
      <c r="K203" s="141"/>
      <c r="L203" s="137"/>
      <c r="M203" s="137"/>
      <c r="N203" s="137"/>
      <c r="O203" s="137"/>
      <c r="P203" s="104"/>
      <c r="Q203" s="104"/>
      <c r="R203" s="137"/>
      <c r="S203" s="104"/>
      <c r="T203" s="137"/>
    </row>
    <row r="204" spans="1:20" ht="18.75">
      <c r="A204" s="137"/>
      <c r="B204" s="138"/>
      <c r="C204" s="139"/>
      <c r="D204" s="139"/>
      <c r="E204" s="137"/>
      <c r="F204" s="139"/>
      <c r="G204" s="107"/>
      <c r="H204" s="137"/>
      <c r="I204" s="137"/>
      <c r="J204" s="140"/>
      <c r="K204" s="141"/>
      <c r="L204" s="137"/>
      <c r="M204" s="137"/>
      <c r="N204" s="137"/>
      <c r="O204" s="137"/>
      <c r="P204" s="104"/>
      <c r="Q204" s="104"/>
      <c r="R204" s="137"/>
      <c r="S204" s="104"/>
      <c r="T204" s="137"/>
    </row>
    <row r="205" spans="1:20" ht="18.75">
      <c r="A205" s="137"/>
      <c r="B205" s="138"/>
      <c r="C205" s="139"/>
      <c r="D205" s="139"/>
      <c r="E205" s="137"/>
      <c r="F205" s="139"/>
      <c r="G205" s="107"/>
      <c r="H205" s="137"/>
      <c r="I205" s="137"/>
      <c r="J205" s="140"/>
      <c r="K205" s="141"/>
      <c r="L205" s="137"/>
      <c r="M205" s="137"/>
      <c r="N205" s="137"/>
      <c r="O205" s="137"/>
      <c r="P205" s="104"/>
      <c r="Q205" s="104"/>
      <c r="R205" s="137"/>
      <c r="S205" s="104"/>
      <c r="T205" s="137"/>
    </row>
    <row r="206" spans="1:20" ht="18.75">
      <c r="A206" s="137"/>
      <c r="B206" s="138"/>
      <c r="C206" s="139"/>
      <c r="D206" s="139"/>
      <c r="E206" s="137"/>
      <c r="F206" s="139"/>
      <c r="G206" s="107"/>
      <c r="H206" s="137"/>
      <c r="I206" s="137"/>
      <c r="J206" s="140"/>
      <c r="K206" s="141"/>
      <c r="L206" s="137"/>
      <c r="M206" s="137"/>
      <c r="N206" s="137"/>
      <c r="O206" s="137"/>
      <c r="P206" s="104"/>
      <c r="Q206" s="104"/>
      <c r="R206" s="137"/>
      <c r="S206" s="104"/>
      <c r="T206" s="137"/>
    </row>
    <row r="207" spans="1:20" ht="18.75">
      <c r="A207" s="137"/>
      <c r="B207" s="138"/>
      <c r="C207" s="139"/>
      <c r="D207" s="139"/>
      <c r="E207" s="137"/>
      <c r="F207" s="139"/>
      <c r="G207" s="107"/>
      <c r="H207" s="137"/>
      <c r="I207" s="137"/>
      <c r="J207" s="140"/>
      <c r="K207" s="141"/>
      <c r="L207" s="137"/>
      <c r="M207" s="137"/>
      <c r="N207" s="137"/>
      <c r="O207" s="137"/>
      <c r="P207" s="104"/>
      <c r="Q207" s="104"/>
      <c r="R207" s="137"/>
      <c r="S207" s="104"/>
      <c r="T207" s="137"/>
    </row>
    <row r="208" spans="1:20" ht="18.75">
      <c r="A208" s="137"/>
      <c r="B208" s="138"/>
      <c r="C208" s="139"/>
      <c r="D208" s="139"/>
      <c r="E208" s="137"/>
      <c r="F208" s="139"/>
      <c r="G208" s="107"/>
      <c r="H208" s="137"/>
      <c r="I208" s="137"/>
      <c r="J208" s="140"/>
      <c r="K208" s="141"/>
      <c r="L208" s="137"/>
      <c r="M208" s="137"/>
      <c r="N208" s="137"/>
      <c r="O208" s="137"/>
      <c r="P208" s="104"/>
      <c r="Q208" s="104"/>
      <c r="R208" s="137"/>
      <c r="S208" s="104"/>
      <c r="T208" s="137"/>
    </row>
    <row r="209" spans="1:20" ht="18.75">
      <c r="A209" s="137"/>
      <c r="B209" s="138"/>
      <c r="C209" s="139"/>
      <c r="D209" s="139"/>
      <c r="E209" s="137"/>
      <c r="F209" s="139"/>
      <c r="G209" s="107"/>
      <c r="H209" s="137"/>
      <c r="I209" s="137"/>
      <c r="J209" s="140"/>
      <c r="K209" s="141"/>
      <c r="L209" s="137"/>
      <c r="M209" s="137"/>
      <c r="N209" s="137"/>
      <c r="O209" s="137"/>
      <c r="P209" s="104"/>
      <c r="Q209" s="104"/>
      <c r="R209" s="137"/>
      <c r="S209" s="104"/>
      <c r="T209" s="137"/>
    </row>
    <row r="210" spans="1:20" ht="18.75">
      <c r="A210" s="137"/>
      <c r="B210" s="138"/>
      <c r="C210" s="139"/>
      <c r="D210" s="139"/>
      <c r="E210" s="137"/>
      <c r="F210" s="139"/>
      <c r="G210" s="107"/>
      <c r="H210" s="137"/>
      <c r="I210" s="137"/>
      <c r="J210" s="140"/>
      <c r="K210" s="141"/>
      <c r="L210" s="137"/>
      <c r="M210" s="137"/>
      <c r="N210" s="137"/>
      <c r="O210" s="137"/>
      <c r="P210" s="104"/>
      <c r="Q210" s="104"/>
      <c r="R210" s="137"/>
      <c r="S210" s="104"/>
      <c r="T210" s="137"/>
    </row>
    <row r="211" spans="1:20" ht="18.75">
      <c r="A211" s="137"/>
      <c r="B211" s="138"/>
      <c r="C211" s="139"/>
      <c r="D211" s="139"/>
      <c r="E211" s="137"/>
      <c r="F211" s="139"/>
      <c r="G211" s="107"/>
      <c r="H211" s="137"/>
      <c r="I211" s="137"/>
      <c r="J211" s="140"/>
      <c r="K211" s="141"/>
      <c r="L211" s="137"/>
      <c r="M211" s="137"/>
      <c r="N211" s="137"/>
      <c r="O211" s="137"/>
      <c r="P211" s="104"/>
      <c r="Q211" s="104"/>
      <c r="R211" s="137"/>
      <c r="S211" s="104"/>
      <c r="T211" s="137"/>
    </row>
    <row r="212" spans="1:20" ht="18.75">
      <c r="A212" s="137"/>
      <c r="B212" s="138"/>
      <c r="C212" s="139"/>
      <c r="D212" s="139"/>
      <c r="E212" s="137"/>
      <c r="F212" s="139"/>
      <c r="G212" s="107"/>
      <c r="H212" s="137"/>
      <c r="I212" s="137"/>
      <c r="J212" s="140"/>
      <c r="K212" s="141"/>
      <c r="L212" s="137"/>
      <c r="M212" s="137"/>
      <c r="N212" s="137"/>
      <c r="O212" s="137"/>
      <c r="P212" s="104"/>
      <c r="Q212" s="104"/>
      <c r="R212" s="137"/>
      <c r="S212" s="104"/>
      <c r="T212" s="137"/>
    </row>
    <row r="213" spans="1:20" ht="18.75">
      <c r="A213" s="137"/>
      <c r="B213" s="138"/>
      <c r="C213" s="139"/>
      <c r="D213" s="139"/>
      <c r="E213" s="137"/>
      <c r="F213" s="139"/>
      <c r="G213" s="107"/>
      <c r="H213" s="137"/>
      <c r="I213" s="137"/>
      <c r="J213" s="140"/>
      <c r="K213" s="141"/>
      <c r="L213" s="137"/>
      <c r="M213" s="137"/>
      <c r="N213" s="137"/>
      <c r="O213" s="137"/>
      <c r="P213" s="104"/>
      <c r="Q213" s="104"/>
      <c r="R213" s="137"/>
      <c r="S213" s="104"/>
      <c r="T213" s="137"/>
    </row>
    <row r="214" spans="1:20" ht="18.75">
      <c r="A214" s="137"/>
      <c r="B214" s="138"/>
      <c r="C214" s="139"/>
      <c r="D214" s="139"/>
      <c r="E214" s="137"/>
      <c r="F214" s="139"/>
      <c r="G214" s="107"/>
      <c r="H214" s="137"/>
      <c r="I214" s="137"/>
      <c r="J214" s="140"/>
      <c r="K214" s="141"/>
      <c r="L214" s="137"/>
      <c r="M214" s="137"/>
      <c r="N214" s="137"/>
      <c r="O214" s="137"/>
      <c r="P214" s="104"/>
      <c r="Q214" s="104"/>
      <c r="R214" s="137"/>
      <c r="S214" s="104"/>
      <c r="T214" s="137"/>
    </row>
    <row r="215" spans="1:20" ht="18.75">
      <c r="A215" s="137"/>
      <c r="B215" s="138"/>
      <c r="C215" s="139"/>
      <c r="D215" s="139"/>
      <c r="E215" s="137"/>
      <c r="F215" s="139"/>
      <c r="G215" s="107"/>
      <c r="H215" s="137"/>
      <c r="I215" s="137"/>
      <c r="J215" s="140"/>
      <c r="K215" s="141"/>
      <c r="L215" s="137"/>
      <c r="M215" s="137"/>
      <c r="N215" s="137"/>
      <c r="O215" s="137"/>
      <c r="P215" s="104"/>
      <c r="Q215" s="104"/>
      <c r="R215" s="137"/>
      <c r="S215" s="104"/>
      <c r="T215" s="137"/>
    </row>
    <row r="216" spans="1:20" ht="18.75">
      <c r="A216" s="137"/>
      <c r="B216" s="138"/>
      <c r="C216" s="139"/>
      <c r="D216" s="139"/>
      <c r="E216" s="137"/>
      <c r="F216" s="139"/>
      <c r="G216" s="107"/>
      <c r="H216" s="137"/>
      <c r="I216" s="137"/>
      <c r="J216" s="140"/>
      <c r="K216" s="141"/>
      <c r="L216" s="137"/>
      <c r="M216" s="137"/>
      <c r="N216" s="137"/>
      <c r="O216" s="137"/>
      <c r="P216" s="104"/>
      <c r="Q216" s="104"/>
      <c r="R216" s="137"/>
      <c r="S216" s="104"/>
      <c r="T216" s="137"/>
    </row>
    <row r="217" spans="1:20" ht="18.75">
      <c r="A217" s="137"/>
      <c r="B217" s="138"/>
      <c r="C217" s="139"/>
      <c r="D217" s="139"/>
      <c r="E217" s="137"/>
      <c r="F217" s="139"/>
      <c r="G217" s="107"/>
      <c r="H217" s="137"/>
      <c r="I217" s="137"/>
      <c r="J217" s="140"/>
      <c r="K217" s="141"/>
      <c r="L217" s="137"/>
      <c r="M217" s="137"/>
      <c r="N217" s="137"/>
      <c r="O217" s="137"/>
      <c r="P217" s="104"/>
      <c r="Q217" s="104"/>
      <c r="R217" s="137"/>
      <c r="S217" s="104"/>
      <c r="T217" s="137"/>
    </row>
    <row r="218" spans="1:20" ht="18.75">
      <c r="A218" s="137"/>
      <c r="B218" s="138"/>
      <c r="C218" s="139"/>
      <c r="D218" s="139"/>
      <c r="E218" s="137"/>
      <c r="F218" s="139"/>
      <c r="G218" s="107"/>
      <c r="H218" s="137"/>
      <c r="I218" s="137"/>
      <c r="J218" s="140"/>
      <c r="K218" s="141"/>
      <c r="L218" s="137"/>
      <c r="M218" s="137"/>
      <c r="N218" s="137"/>
      <c r="O218" s="137"/>
      <c r="P218" s="104"/>
      <c r="Q218" s="104"/>
      <c r="R218" s="137"/>
      <c r="S218" s="104"/>
      <c r="T218" s="137"/>
    </row>
    <row r="219" spans="1:20" ht="18.75">
      <c r="A219" s="137"/>
      <c r="B219" s="138"/>
      <c r="C219" s="139"/>
      <c r="D219" s="139"/>
      <c r="E219" s="137"/>
      <c r="F219" s="139"/>
      <c r="G219" s="107"/>
      <c r="H219" s="137"/>
      <c r="I219" s="137"/>
      <c r="J219" s="140"/>
      <c r="K219" s="141"/>
      <c r="L219" s="137"/>
      <c r="M219" s="137"/>
      <c r="N219" s="137"/>
      <c r="O219" s="137"/>
      <c r="P219" s="104"/>
      <c r="Q219" s="104"/>
      <c r="R219" s="137"/>
      <c r="S219" s="104"/>
      <c r="T219" s="137"/>
    </row>
    <row r="220" spans="1:20" ht="18.75">
      <c r="A220" s="137"/>
      <c r="B220" s="138"/>
      <c r="C220" s="139"/>
      <c r="D220" s="139"/>
      <c r="E220" s="137"/>
      <c r="F220" s="139"/>
      <c r="G220" s="107"/>
      <c r="H220" s="137"/>
      <c r="I220" s="137"/>
      <c r="J220" s="140"/>
      <c r="K220" s="141"/>
      <c r="L220" s="137"/>
      <c r="M220" s="137"/>
      <c r="N220" s="137"/>
      <c r="O220" s="137"/>
      <c r="P220" s="104"/>
      <c r="Q220" s="104"/>
      <c r="R220" s="137"/>
      <c r="S220" s="104"/>
      <c r="T220" s="137"/>
    </row>
    <row r="221" spans="1:20" ht="18.75">
      <c r="A221" s="137"/>
      <c r="B221" s="138"/>
      <c r="C221" s="139"/>
      <c r="D221" s="139"/>
      <c r="E221" s="137"/>
      <c r="F221" s="139"/>
      <c r="G221" s="107"/>
      <c r="H221" s="137"/>
      <c r="I221" s="137"/>
      <c r="J221" s="140"/>
      <c r="K221" s="141"/>
      <c r="L221" s="137"/>
      <c r="M221" s="137"/>
      <c r="N221" s="137"/>
      <c r="O221" s="137"/>
      <c r="P221" s="104"/>
      <c r="Q221" s="104"/>
      <c r="R221" s="137"/>
      <c r="S221" s="104"/>
      <c r="T221" s="137"/>
    </row>
    <row r="222" spans="1:20" ht="18.75">
      <c r="A222" s="137"/>
      <c r="B222" s="138"/>
      <c r="C222" s="139"/>
      <c r="D222" s="139"/>
      <c r="E222" s="137"/>
      <c r="F222" s="139"/>
      <c r="G222" s="107"/>
      <c r="H222" s="137"/>
      <c r="I222" s="137"/>
      <c r="J222" s="140"/>
      <c r="K222" s="141"/>
      <c r="L222" s="137"/>
      <c r="M222" s="137"/>
      <c r="N222" s="137"/>
      <c r="O222" s="137"/>
      <c r="P222" s="104"/>
      <c r="Q222" s="104"/>
      <c r="R222" s="137"/>
      <c r="S222" s="104"/>
      <c r="T222" s="137"/>
    </row>
    <row r="223" spans="1:20" ht="18.75">
      <c r="A223" s="137"/>
      <c r="B223" s="138"/>
      <c r="C223" s="139"/>
      <c r="D223" s="139"/>
      <c r="E223" s="137"/>
      <c r="F223" s="139"/>
      <c r="G223" s="107"/>
      <c r="H223" s="137"/>
      <c r="I223" s="137"/>
      <c r="J223" s="140"/>
      <c r="K223" s="141"/>
      <c r="L223" s="137"/>
      <c r="M223" s="137"/>
      <c r="N223" s="137"/>
      <c r="O223" s="137"/>
      <c r="P223" s="104"/>
      <c r="Q223" s="104"/>
      <c r="R223" s="137"/>
      <c r="S223" s="104"/>
      <c r="T223" s="137"/>
    </row>
    <row r="224" spans="1:20" ht="18.75">
      <c r="A224" s="137"/>
      <c r="B224" s="138"/>
      <c r="C224" s="139"/>
      <c r="D224" s="139"/>
      <c r="E224" s="137"/>
      <c r="F224" s="139"/>
      <c r="G224" s="107"/>
      <c r="H224" s="137"/>
      <c r="I224" s="137"/>
      <c r="J224" s="140"/>
      <c r="K224" s="141"/>
      <c r="L224" s="137"/>
      <c r="M224" s="137"/>
      <c r="N224" s="137"/>
      <c r="O224" s="137"/>
      <c r="P224" s="104"/>
      <c r="Q224" s="104"/>
      <c r="R224" s="137"/>
      <c r="S224" s="104"/>
      <c r="T224" s="137"/>
    </row>
    <row r="225" spans="1:20" ht="18.75">
      <c r="A225" s="137"/>
      <c r="B225" s="138"/>
      <c r="C225" s="139"/>
      <c r="D225" s="139"/>
      <c r="E225" s="137"/>
      <c r="F225" s="139"/>
      <c r="G225" s="107"/>
      <c r="H225" s="137"/>
      <c r="I225" s="137"/>
      <c r="J225" s="140"/>
      <c r="K225" s="141"/>
      <c r="L225" s="137"/>
      <c r="M225" s="137"/>
      <c r="N225" s="137"/>
      <c r="O225" s="137"/>
      <c r="P225" s="104"/>
      <c r="Q225" s="104"/>
      <c r="R225" s="137"/>
      <c r="S225" s="104"/>
      <c r="T225" s="137"/>
    </row>
    <row r="226" spans="1:20" ht="18.75">
      <c r="A226" s="137"/>
      <c r="B226" s="138"/>
      <c r="C226" s="139"/>
      <c r="D226" s="139"/>
      <c r="E226" s="137"/>
      <c r="F226" s="139"/>
      <c r="G226" s="107"/>
      <c r="H226" s="137"/>
      <c r="I226" s="137"/>
      <c r="J226" s="140"/>
      <c r="K226" s="141"/>
      <c r="L226" s="137"/>
      <c r="M226" s="137"/>
      <c r="N226" s="137"/>
      <c r="O226" s="137"/>
      <c r="P226" s="104"/>
      <c r="Q226" s="104"/>
      <c r="R226" s="137"/>
      <c r="S226" s="104"/>
      <c r="T226" s="137"/>
    </row>
    <row r="227" spans="1:20" ht="18.75">
      <c r="A227" s="137"/>
      <c r="B227" s="138"/>
      <c r="C227" s="139"/>
      <c r="D227" s="139"/>
      <c r="E227" s="137"/>
      <c r="F227" s="139"/>
      <c r="G227" s="107"/>
      <c r="H227" s="137"/>
      <c r="I227" s="137"/>
      <c r="J227" s="140"/>
      <c r="K227" s="141"/>
      <c r="L227" s="137"/>
      <c r="M227" s="137"/>
      <c r="N227" s="137"/>
      <c r="O227" s="137"/>
      <c r="P227" s="104"/>
      <c r="Q227" s="104"/>
      <c r="R227" s="137"/>
      <c r="S227" s="104"/>
      <c r="T227" s="137"/>
    </row>
    <row r="228" spans="1:20" ht="18.75">
      <c r="A228" s="137"/>
      <c r="B228" s="138"/>
      <c r="C228" s="139"/>
      <c r="D228" s="139"/>
      <c r="E228" s="137"/>
      <c r="F228" s="139"/>
      <c r="G228" s="107"/>
      <c r="H228" s="137"/>
      <c r="I228" s="137"/>
      <c r="J228" s="140"/>
      <c r="K228" s="141"/>
      <c r="L228" s="137"/>
      <c r="M228" s="137"/>
      <c r="N228" s="137"/>
      <c r="O228" s="137"/>
      <c r="P228" s="104"/>
      <c r="Q228" s="104"/>
      <c r="R228" s="137"/>
      <c r="S228" s="104"/>
      <c r="T228" s="137"/>
    </row>
    <row r="229" spans="1:20" ht="18.75">
      <c r="A229" s="137"/>
      <c r="B229" s="138"/>
      <c r="C229" s="139"/>
      <c r="D229" s="139"/>
      <c r="E229" s="137"/>
      <c r="F229" s="139"/>
      <c r="G229" s="107"/>
      <c r="H229" s="137"/>
      <c r="I229" s="137"/>
      <c r="J229" s="140"/>
      <c r="K229" s="141"/>
      <c r="L229" s="137"/>
      <c r="M229" s="137"/>
      <c r="N229" s="137"/>
      <c r="O229" s="137"/>
      <c r="P229" s="104"/>
      <c r="Q229" s="104"/>
      <c r="R229" s="137"/>
      <c r="S229" s="104"/>
      <c r="T229" s="137"/>
    </row>
    <row r="230" spans="1:20" ht="18.75">
      <c r="A230" s="137"/>
      <c r="B230" s="138"/>
      <c r="C230" s="139"/>
      <c r="D230" s="139"/>
      <c r="E230" s="137"/>
      <c r="F230" s="139"/>
      <c r="G230" s="107"/>
      <c r="H230" s="137"/>
      <c r="I230" s="137"/>
      <c r="J230" s="140"/>
      <c r="K230" s="141"/>
      <c r="L230" s="137"/>
      <c r="M230" s="137"/>
      <c r="N230" s="137"/>
      <c r="O230" s="137"/>
      <c r="P230" s="104"/>
      <c r="Q230" s="104"/>
      <c r="R230" s="137"/>
      <c r="S230" s="104"/>
      <c r="T230" s="137"/>
    </row>
    <row r="231" spans="1:20" ht="18.75">
      <c r="A231" s="137"/>
      <c r="B231" s="138"/>
      <c r="C231" s="139"/>
      <c r="D231" s="139"/>
      <c r="E231" s="137"/>
      <c r="F231" s="139"/>
      <c r="G231" s="107"/>
      <c r="H231" s="137"/>
      <c r="I231" s="137"/>
      <c r="J231" s="140"/>
      <c r="K231" s="141"/>
      <c r="L231" s="137"/>
      <c r="M231" s="137"/>
      <c r="N231" s="137"/>
      <c r="O231" s="137"/>
      <c r="P231" s="104"/>
      <c r="Q231" s="104"/>
      <c r="R231" s="137"/>
      <c r="S231" s="104"/>
      <c r="T231" s="137"/>
    </row>
    <row r="232" spans="1:20" ht="18.75">
      <c r="A232" s="137"/>
      <c r="B232" s="138"/>
      <c r="C232" s="139"/>
      <c r="D232" s="139"/>
      <c r="E232" s="137"/>
      <c r="F232" s="139"/>
      <c r="G232" s="107"/>
      <c r="H232" s="137"/>
      <c r="I232" s="137"/>
      <c r="J232" s="140"/>
      <c r="K232" s="141"/>
      <c r="L232" s="137"/>
      <c r="M232" s="137"/>
      <c r="N232" s="137"/>
      <c r="O232" s="137"/>
      <c r="P232" s="104"/>
      <c r="Q232" s="104"/>
      <c r="R232" s="137"/>
      <c r="S232" s="104"/>
      <c r="T232" s="137"/>
    </row>
    <row r="233" spans="1:20" ht="18.75">
      <c r="A233" s="137"/>
      <c r="B233" s="138"/>
      <c r="C233" s="139"/>
      <c r="D233" s="139"/>
      <c r="E233" s="137"/>
      <c r="F233" s="139"/>
      <c r="G233" s="107"/>
      <c r="H233" s="137"/>
      <c r="I233" s="137"/>
      <c r="J233" s="140"/>
      <c r="K233" s="141"/>
      <c r="L233" s="137"/>
      <c r="M233" s="137"/>
      <c r="N233" s="137"/>
      <c r="O233" s="137"/>
      <c r="P233" s="104"/>
      <c r="Q233" s="104"/>
      <c r="R233" s="137"/>
      <c r="S233" s="104"/>
      <c r="T233" s="137"/>
    </row>
    <row r="234" spans="1:20" ht="18.75">
      <c r="A234" s="137"/>
      <c r="B234" s="138"/>
      <c r="C234" s="139"/>
      <c r="D234" s="139"/>
      <c r="E234" s="137"/>
      <c r="F234" s="139"/>
      <c r="G234" s="107"/>
      <c r="H234" s="137"/>
      <c r="I234" s="137"/>
      <c r="J234" s="140"/>
      <c r="K234" s="141"/>
      <c r="L234" s="137"/>
      <c r="M234" s="137"/>
      <c r="N234" s="137"/>
      <c r="O234" s="137"/>
      <c r="P234" s="104"/>
      <c r="Q234" s="104"/>
      <c r="R234" s="137"/>
      <c r="S234" s="104"/>
      <c r="T234" s="137"/>
    </row>
    <row r="235" spans="1:20" ht="18.75">
      <c r="A235" s="137"/>
      <c r="B235" s="138"/>
      <c r="C235" s="139"/>
      <c r="D235" s="139"/>
      <c r="E235" s="137"/>
      <c r="F235" s="139"/>
      <c r="G235" s="107"/>
      <c r="H235" s="137"/>
      <c r="I235" s="137"/>
      <c r="J235" s="140"/>
      <c r="K235" s="141"/>
      <c r="L235" s="137"/>
      <c r="M235" s="137"/>
      <c r="N235" s="137"/>
      <c r="O235" s="137"/>
      <c r="P235" s="104"/>
      <c r="Q235" s="104"/>
      <c r="R235" s="137"/>
      <c r="S235" s="104"/>
      <c r="T235" s="137"/>
    </row>
    <row r="236" spans="1:20" ht="18.75">
      <c r="A236" s="137"/>
      <c r="B236" s="138"/>
      <c r="C236" s="139"/>
      <c r="D236" s="139"/>
      <c r="E236" s="137"/>
      <c r="F236" s="139"/>
      <c r="G236" s="107"/>
      <c r="H236" s="137"/>
      <c r="I236" s="137"/>
      <c r="J236" s="140"/>
      <c r="K236" s="141"/>
      <c r="L236" s="137"/>
      <c r="M236" s="137"/>
      <c r="N236" s="137"/>
      <c r="O236" s="137"/>
      <c r="P236" s="104"/>
      <c r="Q236" s="104"/>
      <c r="R236" s="137"/>
      <c r="S236" s="104"/>
      <c r="T236" s="137"/>
    </row>
    <row r="237" spans="1:20" ht="18.75">
      <c r="A237" s="137"/>
      <c r="B237" s="138"/>
      <c r="C237" s="139"/>
      <c r="D237" s="139"/>
      <c r="E237" s="137"/>
      <c r="F237" s="139"/>
      <c r="G237" s="107"/>
      <c r="H237" s="137"/>
      <c r="I237" s="137"/>
      <c r="J237" s="140"/>
      <c r="K237" s="141"/>
      <c r="L237" s="137"/>
      <c r="M237" s="137"/>
      <c r="N237" s="137"/>
      <c r="O237" s="137"/>
      <c r="P237" s="104"/>
      <c r="Q237" s="104"/>
      <c r="R237" s="137"/>
      <c r="S237" s="104"/>
      <c r="T237" s="137"/>
    </row>
    <row r="238" spans="1:20" ht="18.75">
      <c r="A238" s="137"/>
      <c r="B238" s="138"/>
      <c r="C238" s="139"/>
      <c r="D238" s="139"/>
      <c r="E238" s="137"/>
      <c r="F238" s="139"/>
      <c r="G238" s="107"/>
      <c r="H238" s="137"/>
      <c r="I238" s="137"/>
      <c r="J238" s="140"/>
      <c r="K238" s="141"/>
      <c r="L238" s="137"/>
      <c r="M238" s="137"/>
      <c r="N238" s="137"/>
      <c r="O238" s="137"/>
      <c r="P238" s="104"/>
      <c r="Q238" s="104"/>
      <c r="R238" s="137"/>
      <c r="S238" s="104"/>
      <c r="T238" s="137"/>
    </row>
    <row r="239" spans="1:20" ht="18.75">
      <c r="A239" s="137"/>
      <c r="B239" s="138"/>
      <c r="C239" s="139"/>
      <c r="D239" s="139"/>
      <c r="E239" s="137"/>
      <c r="F239" s="139"/>
      <c r="G239" s="107"/>
      <c r="H239" s="137"/>
      <c r="I239" s="137"/>
      <c r="J239" s="140"/>
      <c r="K239" s="141"/>
      <c r="L239" s="137"/>
      <c r="M239" s="137"/>
      <c r="N239" s="137"/>
      <c r="O239" s="137"/>
      <c r="P239" s="104"/>
      <c r="Q239" s="104"/>
      <c r="R239" s="137"/>
      <c r="S239" s="104"/>
      <c r="T239" s="137"/>
    </row>
    <row r="240" spans="1:20" ht="18.75">
      <c r="A240" s="137"/>
      <c r="B240" s="138"/>
      <c r="C240" s="139"/>
      <c r="D240" s="139"/>
      <c r="E240" s="137"/>
      <c r="F240" s="139"/>
      <c r="G240" s="107"/>
      <c r="H240" s="137"/>
      <c r="I240" s="137"/>
      <c r="J240" s="140"/>
      <c r="K240" s="141"/>
      <c r="L240" s="137"/>
      <c r="M240" s="137"/>
      <c r="N240" s="137"/>
      <c r="O240" s="137"/>
      <c r="P240" s="104"/>
      <c r="Q240" s="104"/>
      <c r="R240" s="137"/>
      <c r="S240" s="104"/>
      <c r="T240" s="137"/>
    </row>
    <row r="241" spans="1:20" ht="18.75">
      <c r="A241" s="137"/>
      <c r="B241" s="138"/>
      <c r="C241" s="139"/>
      <c r="D241" s="139"/>
      <c r="E241" s="137"/>
      <c r="F241" s="139"/>
      <c r="G241" s="107"/>
      <c r="H241" s="137"/>
      <c r="I241" s="137"/>
      <c r="J241" s="140"/>
      <c r="K241" s="141"/>
      <c r="L241" s="137"/>
      <c r="M241" s="137"/>
      <c r="N241" s="137"/>
      <c r="O241" s="137"/>
      <c r="P241" s="104"/>
      <c r="Q241" s="104"/>
      <c r="R241" s="137"/>
      <c r="S241" s="104"/>
      <c r="T241" s="137"/>
    </row>
    <row r="242" spans="1:20" ht="18.75">
      <c r="A242" s="137"/>
      <c r="B242" s="138"/>
      <c r="C242" s="139"/>
      <c r="D242" s="139"/>
      <c r="E242" s="137"/>
      <c r="F242" s="139"/>
      <c r="G242" s="107"/>
      <c r="H242" s="137"/>
      <c r="I242" s="137"/>
      <c r="J242" s="140"/>
      <c r="K242" s="141"/>
      <c r="L242" s="137"/>
      <c r="M242" s="137"/>
      <c r="N242" s="137"/>
      <c r="O242" s="137"/>
      <c r="P242" s="104"/>
      <c r="Q242" s="104"/>
      <c r="R242" s="137"/>
      <c r="S242" s="104"/>
      <c r="T242" s="137"/>
    </row>
    <row r="243" spans="1:20" ht="18.75">
      <c r="A243" s="137"/>
      <c r="B243" s="138"/>
      <c r="C243" s="139"/>
      <c r="D243" s="139"/>
      <c r="E243" s="137"/>
      <c r="F243" s="139"/>
      <c r="G243" s="107"/>
      <c r="H243" s="137"/>
      <c r="I243" s="137"/>
      <c r="J243" s="140"/>
      <c r="K243" s="141"/>
      <c r="L243" s="137"/>
      <c r="M243" s="137"/>
      <c r="N243" s="137"/>
      <c r="O243" s="137"/>
      <c r="P243" s="104"/>
      <c r="Q243" s="104"/>
      <c r="R243" s="137"/>
      <c r="S243" s="104"/>
      <c r="T243" s="137"/>
    </row>
    <row r="244" spans="1:20" ht="18.75">
      <c r="A244" s="137"/>
      <c r="B244" s="138"/>
      <c r="C244" s="139"/>
      <c r="D244" s="139"/>
      <c r="E244" s="137"/>
      <c r="F244" s="139"/>
      <c r="G244" s="107"/>
      <c r="H244" s="137"/>
      <c r="I244" s="137"/>
      <c r="J244" s="140"/>
      <c r="K244" s="141"/>
      <c r="L244" s="137"/>
      <c r="M244" s="137"/>
      <c r="N244" s="137"/>
      <c r="O244" s="137"/>
      <c r="P244" s="104"/>
      <c r="Q244" s="104"/>
      <c r="R244" s="137"/>
      <c r="S244" s="104"/>
      <c r="T244" s="137"/>
    </row>
    <row r="245" spans="1:20" ht="18.75">
      <c r="A245" s="137"/>
      <c r="B245" s="138"/>
      <c r="C245" s="139"/>
      <c r="D245" s="139"/>
      <c r="E245" s="137"/>
      <c r="F245" s="139"/>
      <c r="G245" s="107"/>
      <c r="H245" s="137"/>
      <c r="I245" s="137"/>
      <c r="J245" s="140"/>
      <c r="K245" s="141"/>
      <c r="L245" s="137"/>
      <c r="M245" s="137"/>
      <c r="N245" s="137"/>
      <c r="O245" s="137"/>
      <c r="P245" s="104"/>
      <c r="Q245" s="104"/>
      <c r="R245" s="137"/>
      <c r="S245" s="104"/>
      <c r="T245" s="137"/>
    </row>
    <row r="246" spans="1:20" ht="18.75">
      <c r="A246" s="137"/>
      <c r="B246" s="138"/>
      <c r="C246" s="139"/>
      <c r="D246" s="139"/>
      <c r="E246" s="137"/>
      <c r="F246" s="139"/>
      <c r="G246" s="107"/>
      <c r="H246" s="137"/>
      <c r="I246" s="137"/>
      <c r="J246" s="140"/>
      <c r="K246" s="141"/>
      <c r="L246" s="137"/>
      <c r="M246" s="137"/>
      <c r="N246" s="137"/>
      <c r="O246" s="137"/>
      <c r="P246" s="104"/>
      <c r="Q246" s="104"/>
      <c r="R246" s="137"/>
      <c r="S246" s="104"/>
      <c r="T246" s="137"/>
    </row>
    <row r="247" spans="1:20" ht="18.75">
      <c r="A247" s="137"/>
      <c r="B247" s="138"/>
      <c r="C247" s="139"/>
      <c r="D247" s="139"/>
      <c r="E247" s="137"/>
      <c r="F247" s="139"/>
      <c r="G247" s="107"/>
      <c r="H247" s="137"/>
      <c r="I247" s="137"/>
      <c r="J247" s="140"/>
      <c r="K247" s="141"/>
      <c r="L247" s="137"/>
      <c r="M247" s="137"/>
      <c r="N247" s="137"/>
      <c r="O247" s="137"/>
      <c r="P247" s="104"/>
      <c r="Q247" s="104"/>
      <c r="R247" s="137"/>
      <c r="S247" s="104"/>
      <c r="T247" s="137"/>
    </row>
    <row r="248" spans="1:20" ht="18.75">
      <c r="A248" s="137"/>
      <c r="B248" s="138"/>
      <c r="C248" s="139"/>
      <c r="D248" s="139"/>
      <c r="E248" s="137"/>
      <c r="F248" s="139"/>
      <c r="G248" s="107"/>
      <c r="H248" s="137"/>
      <c r="I248" s="137"/>
      <c r="J248" s="140"/>
      <c r="K248" s="141"/>
      <c r="L248" s="137"/>
      <c r="M248" s="137"/>
      <c r="N248" s="137"/>
      <c r="O248" s="137"/>
      <c r="P248" s="104"/>
      <c r="Q248" s="104"/>
      <c r="R248" s="137"/>
      <c r="S248" s="104"/>
      <c r="T248" s="137"/>
    </row>
    <row r="249" spans="1:20" ht="18.75">
      <c r="A249" s="137"/>
      <c r="B249" s="138"/>
      <c r="C249" s="139"/>
      <c r="D249" s="139"/>
      <c r="E249" s="137"/>
      <c r="F249" s="139"/>
      <c r="G249" s="107"/>
      <c r="H249" s="137"/>
      <c r="I249" s="137"/>
      <c r="J249" s="140"/>
      <c r="K249" s="141"/>
      <c r="L249" s="137"/>
      <c r="M249" s="137"/>
      <c r="N249" s="137"/>
      <c r="O249" s="137"/>
      <c r="P249" s="104"/>
      <c r="Q249" s="104"/>
      <c r="R249" s="137"/>
      <c r="S249" s="104"/>
      <c r="T249" s="137"/>
    </row>
    <row r="250" spans="1:20" ht="18.75">
      <c r="A250" s="137"/>
      <c r="B250" s="138"/>
      <c r="C250" s="139"/>
      <c r="D250" s="139"/>
      <c r="E250" s="137"/>
      <c r="F250" s="139"/>
      <c r="G250" s="107"/>
      <c r="H250" s="137"/>
      <c r="I250" s="137"/>
      <c r="J250" s="140"/>
      <c r="K250" s="141"/>
      <c r="L250" s="137"/>
      <c r="M250" s="137"/>
      <c r="N250" s="137"/>
      <c r="O250" s="137"/>
      <c r="P250" s="104"/>
      <c r="Q250" s="104"/>
      <c r="R250" s="137"/>
      <c r="S250" s="104"/>
      <c r="T250" s="137"/>
    </row>
    <row r="251" spans="1:20" ht="18.75">
      <c r="A251" s="137"/>
      <c r="B251" s="138"/>
      <c r="C251" s="139"/>
      <c r="D251" s="139"/>
      <c r="E251" s="137"/>
      <c r="F251" s="139"/>
      <c r="G251" s="107"/>
      <c r="H251" s="137"/>
      <c r="I251" s="137"/>
      <c r="J251" s="140"/>
      <c r="K251" s="141"/>
      <c r="L251" s="137"/>
      <c r="M251" s="137"/>
      <c r="N251" s="137"/>
      <c r="O251" s="137"/>
      <c r="P251" s="104"/>
      <c r="Q251" s="104"/>
      <c r="R251" s="137"/>
      <c r="S251" s="104"/>
      <c r="T251" s="137"/>
    </row>
    <row r="252" spans="1:20" ht="18.75">
      <c r="A252" s="137"/>
      <c r="B252" s="138"/>
      <c r="C252" s="139"/>
      <c r="D252" s="139"/>
      <c r="E252" s="137"/>
      <c r="F252" s="139"/>
      <c r="G252" s="107"/>
      <c r="H252" s="137"/>
      <c r="I252" s="137"/>
      <c r="J252" s="140"/>
      <c r="K252" s="141"/>
      <c r="L252" s="137"/>
      <c r="M252" s="137"/>
      <c r="N252" s="137"/>
      <c r="O252" s="137"/>
      <c r="P252" s="104"/>
      <c r="Q252" s="104"/>
      <c r="R252" s="137"/>
      <c r="S252" s="104"/>
      <c r="T252" s="137"/>
    </row>
    <row r="253" spans="1:20" ht="18.75">
      <c r="A253" s="137"/>
      <c r="B253" s="138"/>
      <c r="C253" s="139"/>
      <c r="D253" s="139"/>
      <c r="E253" s="137"/>
      <c r="F253" s="139"/>
      <c r="G253" s="107"/>
      <c r="H253" s="137"/>
      <c r="I253" s="137"/>
      <c r="J253" s="140"/>
      <c r="K253" s="141"/>
      <c r="L253" s="137"/>
      <c r="M253" s="137"/>
      <c r="N253" s="137"/>
      <c r="O253" s="137"/>
      <c r="P253" s="104"/>
      <c r="Q253" s="104"/>
      <c r="R253" s="137"/>
      <c r="S253" s="104"/>
      <c r="T253" s="137"/>
    </row>
    <row r="254" spans="1:20" ht="18.75">
      <c r="A254" s="137"/>
      <c r="B254" s="138"/>
      <c r="C254" s="139"/>
      <c r="D254" s="139"/>
      <c r="E254" s="137"/>
      <c r="F254" s="139"/>
      <c r="G254" s="107"/>
      <c r="H254" s="137"/>
      <c r="I254" s="137"/>
      <c r="J254" s="140"/>
      <c r="K254" s="141"/>
      <c r="L254" s="137"/>
      <c r="M254" s="137"/>
      <c r="N254" s="137"/>
      <c r="O254" s="137"/>
      <c r="P254" s="104"/>
      <c r="Q254" s="104"/>
      <c r="R254" s="137"/>
      <c r="S254" s="104"/>
      <c r="T254" s="137"/>
    </row>
    <row r="255" spans="1:20" ht="18.75">
      <c r="A255" s="137"/>
      <c r="B255" s="138"/>
      <c r="C255" s="139"/>
      <c r="D255" s="139"/>
      <c r="E255" s="137"/>
      <c r="F255" s="139"/>
      <c r="G255" s="107"/>
      <c r="H255" s="137"/>
      <c r="I255" s="137"/>
      <c r="J255" s="140"/>
      <c r="K255" s="141"/>
      <c r="L255" s="137"/>
      <c r="M255" s="137"/>
      <c r="N255" s="137"/>
      <c r="O255" s="137"/>
      <c r="P255" s="104"/>
      <c r="Q255" s="104"/>
      <c r="R255" s="137"/>
      <c r="S255" s="104"/>
      <c r="T255" s="137"/>
    </row>
    <row r="256" spans="1:20" ht="18.75">
      <c r="A256" s="137"/>
      <c r="B256" s="138"/>
      <c r="C256" s="139"/>
      <c r="D256" s="139"/>
      <c r="E256" s="137"/>
      <c r="F256" s="139"/>
      <c r="G256" s="107"/>
      <c r="H256" s="137"/>
      <c r="I256" s="137"/>
      <c r="J256" s="140"/>
      <c r="K256" s="141"/>
      <c r="L256" s="137"/>
      <c r="M256" s="137"/>
      <c r="N256" s="137"/>
      <c r="O256" s="137"/>
      <c r="P256" s="104"/>
      <c r="Q256" s="104"/>
      <c r="R256" s="137"/>
      <c r="S256" s="104"/>
      <c r="T256" s="137"/>
    </row>
    <row r="257" spans="1:20" ht="18.75">
      <c r="A257" s="137"/>
      <c r="B257" s="138"/>
      <c r="C257" s="139"/>
      <c r="D257" s="139"/>
      <c r="E257" s="137"/>
      <c r="F257" s="139"/>
      <c r="G257" s="107"/>
      <c r="H257" s="137"/>
      <c r="I257" s="137"/>
      <c r="J257" s="140"/>
      <c r="K257" s="141"/>
      <c r="L257" s="137"/>
      <c r="M257" s="137"/>
      <c r="N257" s="137"/>
      <c r="O257" s="137"/>
      <c r="P257" s="104"/>
      <c r="Q257" s="104"/>
      <c r="R257" s="137"/>
      <c r="S257" s="104"/>
      <c r="T257" s="137"/>
    </row>
    <row r="258" spans="1:20" ht="18.75">
      <c r="A258" s="137"/>
      <c r="B258" s="138"/>
      <c r="C258" s="139"/>
      <c r="D258" s="139"/>
      <c r="E258" s="137"/>
      <c r="F258" s="139"/>
      <c r="G258" s="107"/>
      <c r="H258" s="137"/>
      <c r="I258" s="137"/>
      <c r="J258" s="140"/>
      <c r="K258" s="141"/>
      <c r="L258" s="137"/>
      <c r="M258" s="137"/>
      <c r="N258" s="137"/>
      <c r="O258" s="137"/>
      <c r="P258" s="104"/>
      <c r="Q258" s="104"/>
      <c r="R258" s="137"/>
      <c r="S258" s="104"/>
      <c r="T258" s="137"/>
    </row>
  </sheetData>
  <sheetProtection/>
  <mergeCells count="42">
    <mergeCell ref="A1:T1"/>
    <mergeCell ref="A2:T2"/>
    <mergeCell ref="A3:T3"/>
    <mergeCell ref="B4:T4"/>
    <mergeCell ref="A6:A8"/>
    <mergeCell ref="B6:B8"/>
    <mergeCell ref="C6:C8"/>
    <mergeCell ref="D6:D8"/>
    <mergeCell ref="E6:E8"/>
    <mergeCell ref="F6:F8"/>
    <mergeCell ref="G6:I6"/>
    <mergeCell ref="J6:J8"/>
    <mergeCell ref="K6:K8"/>
    <mergeCell ref="L6:N6"/>
    <mergeCell ref="O6:O8"/>
    <mergeCell ref="P6:P8"/>
    <mergeCell ref="Q6:Q8"/>
    <mergeCell ref="R6:R8"/>
    <mergeCell ref="S6:S8"/>
    <mergeCell ref="T6:T8"/>
    <mergeCell ref="G7:G8"/>
    <mergeCell ref="H7:H8"/>
    <mergeCell ref="I7:I8"/>
    <mergeCell ref="L7:L8"/>
    <mergeCell ref="M7:M8"/>
    <mergeCell ref="N7:N8"/>
    <mergeCell ref="A10:E10"/>
    <mergeCell ref="G11:I11"/>
    <mergeCell ref="A13:T13"/>
    <mergeCell ref="A14:F14"/>
    <mergeCell ref="J14:T14"/>
    <mergeCell ref="B12:F12"/>
    <mergeCell ref="A37:F37"/>
    <mergeCell ref="J37:T37"/>
    <mergeCell ref="A40:F40"/>
    <mergeCell ref="J40:T40"/>
    <mergeCell ref="A15:F15"/>
    <mergeCell ref="J15:T15"/>
    <mergeCell ref="A21:K21"/>
    <mergeCell ref="M21:T21"/>
    <mergeCell ref="A29:H29"/>
    <mergeCell ref="M29:T29"/>
  </mergeCells>
  <printOptions/>
  <pageMargins left="0.31496062992125984" right="0.31496062992125984" top="0.7480314960629921" bottom="0.7480314960629921" header="0.11811023622047245" footer="0.11811023622047245"/>
  <pageSetup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7"/>
  <sheetViews>
    <sheetView zoomScale="60" zoomScaleNormal="60" zoomScalePageLayoutView="0" workbookViewId="0" topLeftCell="A1">
      <selection activeCell="F6" sqref="F6:F8"/>
    </sheetView>
  </sheetViews>
  <sheetFormatPr defaultColWidth="10.28125" defaultRowHeight="15"/>
  <cols>
    <col min="1" max="1" width="8.421875" style="143" customWidth="1"/>
    <col min="2" max="2" width="33.00390625" style="144" customWidth="1"/>
    <col min="3" max="3" width="9.421875" style="145" customWidth="1"/>
    <col min="4" max="4" width="10.7109375" style="145" customWidth="1"/>
    <col min="5" max="5" width="11.57421875" style="146" customWidth="1"/>
    <col min="6" max="6" width="77.00390625" style="145" customWidth="1"/>
    <col min="7" max="7" width="25.00390625" style="147" customWidth="1"/>
    <col min="8" max="8" width="17.140625" style="146" customWidth="1"/>
    <col min="9" max="9" width="20.57421875" style="152" customWidth="1"/>
    <col min="10" max="10" width="21.140625" style="151" customWidth="1"/>
    <col min="11" max="11" width="18.57421875" style="152" customWidth="1"/>
    <col min="12" max="16384" width="10.28125" style="142" customWidth="1"/>
  </cols>
  <sheetData>
    <row r="1" spans="1:11" s="115" customFormat="1" ht="49.5" customHeight="1">
      <c r="A1" s="351" t="s">
        <v>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s="115" customFormat="1" ht="40.5" customHeight="1">
      <c r="A2" s="386" t="s">
        <v>38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115" customFormat="1" ht="30" customHeight="1">
      <c r="A3" s="387" t="s">
        <v>84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s="154" customFormat="1" ht="35.25" customHeight="1">
      <c r="A4" s="153"/>
      <c r="B4" s="388" t="s">
        <v>284</v>
      </c>
      <c r="C4" s="388"/>
      <c r="D4" s="388"/>
      <c r="E4" s="388"/>
      <c r="F4" s="388"/>
      <c r="G4" s="388"/>
      <c r="H4" s="388"/>
      <c r="I4" s="388"/>
      <c r="J4" s="388"/>
      <c r="K4" s="388"/>
    </row>
    <row r="5" spans="1:11" s="115" customFormat="1" ht="33" customHeight="1">
      <c r="A5" s="135"/>
      <c r="B5" s="155"/>
      <c r="C5" s="156"/>
      <c r="D5" s="156"/>
      <c r="E5" s="135"/>
      <c r="F5" s="156"/>
      <c r="G5" s="134"/>
      <c r="H5" s="135"/>
      <c r="I5" s="135"/>
      <c r="J5" s="134"/>
      <c r="K5" s="135"/>
    </row>
    <row r="6" spans="1:11" s="115" customFormat="1" ht="51" customHeight="1">
      <c r="A6" s="389" t="s">
        <v>56</v>
      </c>
      <c r="B6" s="385" t="s">
        <v>57</v>
      </c>
      <c r="C6" s="382" t="s">
        <v>58</v>
      </c>
      <c r="D6" s="382" t="s">
        <v>59</v>
      </c>
      <c r="E6" s="385" t="s">
        <v>60</v>
      </c>
      <c r="F6" s="385" t="s">
        <v>2</v>
      </c>
      <c r="G6" s="380" t="s">
        <v>85</v>
      </c>
      <c r="H6" s="381"/>
      <c r="I6" s="382" t="s">
        <v>86</v>
      </c>
      <c r="J6" s="382" t="s">
        <v>87</v>
      </c>
      <c r="K6" s="385" t="s">
        <v>0</v>
      </c>
    </row>
    <row r="7" spans="1:11" s="131" customFormat="1" ht="35.25" customHeight="1">
      <c r="A7" s="389"/>
      <c r="B7" s="385"/>
      <c r="C7" s="383"/>
      <c r="D7" s="383"/>
      <c r="E7" s="385"/>
      <c r="F7" s="385"/>
      <c r="G7" s="385" t="s">
        <v>54</v>
      </c>
      <c r="H7" s="380" t="s">
        <v>88</v>
      </c>
      <c r="I7" s="383"/>
      <c r="J7" s="383"/>
      <c r="K7" s="385"/>
    </row>
    <row r="8" spans="1:11" s="131" customFormat="1" ht="39.75" customHeight="1">
      <c r="A8" s="389"/>
      <c r="B8" s="385"/>
      <c r="C8" s="384"/>
      <c r="D8" s="384"/>
      <c r="E8" s="385"/>
      <c r="F8" s="385"/>
      <c r="G8" s="385"/>
      <c r="H8" s="380"/>
      <c r="I8" s="384"/>
      <c r="J8" s="384"/>
      <c r="K8" s="385"/>
    </row>
    <row r="9" spans="1:11" s="161" customFormat="1" ht="53.25" customHeight="1">
      <c r="A9" s="157">
        <v>0</v>
      </c>
      <c r="B9" s="158">
        <v>1</v>
      </c>
      <c r="C9" s="158">
        <v>2</v>
      </c>
      <c r="D9" s="158">
        <v>3</v>
      </c>
      <c r="E9" s="159">
        <v>4</v>
      </c>
      <c r="F9" s="158">
        <v>5</v>
      </c>
      <c r="G9" s="159">
        <v>6</v>
      </c>
      <c r="H9" s="160">
        <v>7</v>
      </c>
      <c r="I9" s="159" t="s">
        <v>89</v>
      </c>
      <c r="J9" s="159">
        <v>9</v>
      </c>
      <c r="K9" s="159">
        <v>10</v>
      </c>
    </row>
    <row r="10" spans="1:11" s="161" customFormat="1" ht="45.75" customHeight="1">
      <c r="A10" s="377" t="s">
        <v>23</v>
      </c>
      <c r="B10" s="378"/>
      <c r="C10" s="378"/>
      <c r="D10" s="378"/>
      <c r="E10" s="379"/>
      <c r="F10" s="158"/>
      <c r="G10" s="159"/>
      <c r="H10" s="162">
        <f>SUM(H11:H11)</f>
        <v>1</v>
      </c>
      <c r="I10" s="166">
        <f>SUM(I11:I11)</f>
        <v>5000000</v>
      </c>
      <c r="J10" s="166">
        <f>SUM(J11:J11)</f>
        <v>5000000</v>
      </c>
      <c r="K10" s="159"/>
    </row>
    <row r="11" spans="1:11" s="131" customFormat="1" ht="115.5" customHeight="1">
      <c r="A11" s="163">
        <v>1</v>
      </c>
      <c r="B11" s="172" t="s">
        <v>255</v>
      </c>
      <c r="C11" s="164"/>
      <c r="D11" s="164"/>
      <c r="E11" s="163">
        <v>4</v>
      </c>
      <c r="F11" s="173" t="str">
        <f>'[1]Sheet3'!A6</f>
        <v>Mộ đã cải táng, mộ xây gạch, trát xung quanh vữa mác 25 đến 50, quét vôi ve xi măng, sơn,trên 500 viên , DTCĐ từ  2m2  -:- 2,5m2</v>
      </c>
      <c r="G11" s="167">
        <v>5000000</v>
      </c>
      <c r="H11" s="168">
        <v>1</v>
      </c>
      <c r="I11" s="165">
        <f>G11*H11</f>
        <v>5000000</v>
      </c>
      <c r="J11" s="166">
        <f>I11</f>
        <v>5000000</v>
      </c>
      <c r="K11" s="163"/>
    </row>
    <row r="12" spans="1:11" s="115" customFormat="1" ht="21" customHeight="1">
      <c r="A12" s="358"/>
      <c r="B12" s="358"/>
      <c r="C12" s="358"/>
      <c r="D12" s="358"/>
      <c r="E12" s="358"/>
      <c r="F12" s="358"/>
      <c r="G12" s="358"/>
      <c r="H12" s="358"/>
      <c r="I12" s="358"/>
      <c r="J12" s="358"/>
      <c r="K12" s="358"/>
    </row>
    <row r="13" spans="1:11" s="119" customFormat="1" ht="19.5" customHeight="1">
      <c r="A13" s="350"/>
      <c r="B13" s="350"/>
      <c r="C13" s="350"/>
      <c r="D13" s="350"/>
      <c r="E13" s="350"/>
      <c r="F13" s="350"/>
      <c r="G13" s="134"/>
      <c r="H13" s="135"/>
      <c r="I13" s="135"/>
      <c r="J13" s="350"/>
      <c r="K13" s="350"/>
    </row>
    <row r="14" spans="1:11" s="119" customFormat="1" ht="21.75" customHeight="1">
      <c r="A14" s="350"/>
      <c r="B14" s="350"/>
      <c r="C14" s="350"/>
      <c r="D14" s="350"/>
      <c r="E14" s="350"/>
      <c r="F14" s="350"/>
      <c r="G14" s="131"/>
      <c r="H14" s="128"/>
      <c r="I14" s="128"/>
      <c r="J14" s="350"/>
      <c r="K14" s="350"/>
    </row>
    <row r="15" spans="1:11" s="119" customFormat="1" ht="15" customHeight="1" hidden="1">
      <c r="A15" s="128"/>
      <c r="B15" s="129"/>
      <c r="C15" s="130"/>
      <c r="D15" s="130"/>
      <c r="E15" s="128"/>
      <c r="F15" s="130"/>
      <c r="G15" s="131"/>
      <c r="H15" s="128"/>
      <c r="I15" s="128"/>
      <c r="J15" s="134"/>
      <c r="K15" s="128"/>
    </row>
    <row r="16" spans="1:11" s="119" customFormat="1" ht="15" customHeight="1" hidden="1">
      <c r="A16" s="128"/>
      <c r="B16" s="129"/>
      <c r="C16" s="130"/>
      <c r="D16" s="130"/>
      <c r="E16" s="128"/>
      <c r="F16" s="130"/>
      <c r="G16" s="131"/>
      <c r="H16" s="128"/>
      <c r="I16" s="128"/>
      <c r="J16" s="134"/>
      <c r="K16" s="128"/>
    </row>
    <row r="17" spans="1:11" s="119" customFormat="1" ht="15" customHeight="1" hidden="1">
      <c r="A17" s="128"/>
      <c r="B17" s="129"/>
      <c r="C17" s="130"/>
      <c r="D17" s="130"/>
      <c r="E17" s="128"/>
      <c r="F17" s="130"/>
      <c r="G17" s="131"/>
      <c r="H17" s="128"/>
      <c r="I17" s="128"/>
      <c r="J17" s="134"/>
      <c r="K17" s="128"/>
    </row>
    <row r="18" spans="1:11" s="119" customFormat="1" ht="15" customHeight="1" hidden="1">
      <c r="A18" s="128"/>
      <c r="B18" s="129"/>
      <c r="C18" s="130"/>
      <c r="D18" s="130"/>
      <c r="E18" s="128"/>
      <c r="F18" s="130"/>
      <c r="G18" s="131"/>
      <c r="H18" s="128"/>
      <c r="I18" s="128"/>
      <c r="J18" s="134"/>
      <c r="K18" s="128"/>
    </row>
    <row r="19" spans="1:11" s="119" customFormat="1" ht="15" customHeight="1" hidden="1">
      <c r="A19" s="128"/>
      <c r="B19" s="129"/>
      <c r="C19" s="130"/>
      <c r="D19" s="130"/>
      <c r="E19" s="128"/>
      <c r="F19" s="130"/>
      <c r="G19" s="131"/>
      <c r="H19" s="128"/>
      <c r="I19" s="128"/>
      <c r="J19" s="134"/>
      <c r="K19" s="128"/>
    </row>
    <row r="20" spans="1:11" s="119" customFormat="1" ht="15" customHeight="1" hidden="1">
      <c r="A20" s="350" t="s">
        <v>81</v>
      </c>
      <c r="B20" s="350"/>
      <c r="C20" s="350"/>
      <c r="D20" s="350"/>
      <c r="E20" s="350"/>
      <c r="F20" s="350"/>
      <c r="G20" s="350"/>
      <c r="H20" s="350"/>
      <c r="I20" s="135"/>
      <c r="J20" s="350"/>
      <c r="K20" s="350"/>
    </row>
    <row r="21" spans="1:11" s="119" customFormat="1" ht="15" customHeight="1" hidden="1">
      <c r="A21" s="128"/>
      <c r="B21" s="129"/>
      <c r="C21" s="130"/>
      <c r="D21" s="130"/>
      <c r="E21" s="128"/>
      <c r="F21" s="130"/>
      <c r="G21" s="131"/>
      <c r="H21" s="128"/>
      <c r="I21" s="128"/>
      <c r="J21" s="134"/>
      <c r="K21" s="128"/>
    </row>
    <row r="22" spans="1:11" s="119" customFormat="1" ht="15" customHeight="1" hidden="1">
      <c r="A22" s="128"/>
      <c r="B22" s="129"/>
      <c r="C22" s="130"/>
      <c r="D22" s="130"/>
      <c r="E22" s="128"/>
      <c r="F22" s="130"/>
      <c r="G22" s="131"/>
      <c r="H22" s="128"/>
      <c r="I22" s="128"/>
      <c r="J22" s="134"/>
      <c r="K22" s="128"/>
    </row>
    <row r="23" spans="1:11" s="119" customFormat="1" ht="15" customHeight="1" hidden="1">
      <c r="A23" s="128"/>
      <c r="B23" s="129"/>
      <c r="C23" s="130"/>
      <c r="D23" s="130"/>
      <c r="E23" s="128"/>
      <c r="F23" s="130"/>
      <c r="G23" s="131"/>
      <c r="H23" s="128"/>
      <c r="I23" s="128"/>
      <c r="J23" s="134"/>
      <c r="K23" s="128"/>
    </row>
    <row r="24" spans="1:11" s="119" customFormat="1" ht="15" customHeight="1" hidden="1">
      <c r="A24" s="128"/>
      <c r="B24" s="129"/>
      <c r="C24" s="130"/>
      <c r="D24" s="130"/>
      <c r="E24" s="128"/>
      <c r="F24" s="130"/>
      <c r="G24" s="131"/>
      <c r="H24" s="128"/>
      <c r="I24" s="128"/>
      <c r="J24" s="134"/>
      <c r="K24" s="128"/>
    </row>
    <row r="25" spans="1:11" s="119" customFormat="1" ht="15" customHeight="1" hidden="1">
      <c r="A25" s="128"/>
      <c r="B25" s="129"/>
      <c r="C25" s="130"/>
      <c r="D25" s="130"/>
      <c r="E25" s="128"/>
      <c r="F25" s="169"/>
      <c r="G25" s="131"/>
      <c r="H25" s="128"/>
      <c r="I25" s="128"/>
      <c r="J25" s="134"/>
      <c r="K25" s="128"/>
    </row>
    <row r="26" spans="1:11" s="119" customFormat="1" ht="15" customHeight="1" hidden="1">
      <c r="A26" s="128"/>
      <c r="B26" s="129"/>
      <c r="C26" s="130"/>
      <c r="D26" s="130"/>
      <c r="E26" s="128"/>
      <c r="F26" s="130"/>
      <c r="G26" s="131"/>
      <c r="H26" s="128"/>
      <c r="I26" s="128"/>
      <c r="J26" s="134"/>
      <c r="K26" s="128"/>
    </row>
    <row r="27" spans="1:11" s="119" customFormat="1" ht="15" customHeight="1" hidden="1">
      <c r="A27" s="128"/>
      <c r="B27" s="129"/>
      <c r="C27" s="130"/>
      <c r="D27" s="130"/>
      <c r="E27" s="128"/>
      <c r="F27" s="130"/>
      <c r="G27" s="131"/>
      <c r="H27" s="128"/>
      <c r="I27" s="128"/>
      <c r="J27" s="134"/>
      <c r="K27" s="128"/>
    </row>
    <row r="28" spans="1:11" s="119" customFormat="1" ht="18.75" customHeight="1" hidden="1">
      <c r="A28" s="350" t="s">
        <v>82</v>
      </c>
      <c r="B28" s="350"/>
      <c r="C28" s="350"/>
      <c r="D28" s="350"/>
      <c r="E28" s="350"/>
      <c r="F28" s="350"/>
      <c r="G28" s="350"/>
      <c r="H28" s="350"/>
      <c r="I28" s="135"/>
      <c r="J28" s="350"/>
      <c r="K28" s="350"/>
    </row>
    <row r="29" spans="1:11" s="119" customFormat="1" ht="15" customHeight="1" hidden="1">
      <c r="A29" s="128"/>
      <c r="B29" s="129"/>
      <c r="C29" s="130"/>
      <c r="D29" s="130"/>
      <c r="E29" s="128"/>
      <c r="F29" s="130"/>
      <c r="G29" s="131"/>
      <c r="H29" s="128"/>
      <c r="I29" s="128"/>
      <c r="J29" s="134"/>
      <c r="K29" s="128"/>
    </row>
    <row r="30" spans="1:11" s="119" customFormat="1" ht="15" customHeight="1" hidden="1">
      <c r="A30" s="128"/>
      <c r="B30" s="129"/>
      <c r="C30" s="130"/>
      <c r="D30" s="130"/>
      <c r="E30" s="128"/>
      <c r="F30" s="130"/>
      <c r="G30" s="131"/>
      <c r="H30" s="128"/>
      <c r="I30" s="128"/>
      <c r="J30" s="134"/>
      <c r="K30" s="128"/>
    </row>
    <row r="31" spans="1:11" s="119" customFormat="1" ht="18.75">
      <c r="A31" s="128"/>
      <c r="B31" s="129"/>
      <c r="C31" s="130"/>
      <c r="D31" s="130"/>
      <c r="E31" s="128"/>
      <c r="F31" s="130"/>
      <c r="G31" s="131"/>
      <c r="H31" s="128"/>
      <c r="I31" s="128"/>
      <c r="J31" s="134"/>
      <c r="K31" s="128"/>
    </row>
    <row r="32" spans="1:11" s="119" customFormat="1" ht="18.75">
      <c r="A32" s="128"/>
      <c r="B32" s="129"/>
      <c r="C32" s="130"/>
      <c r="D32" s="130"/>
      <c r="E32" s="128"/>
      <c r="F32" s="130"/>
      <c r="G32" s="131"/>
      <c r="H32" s="128"/>
      <c r="I32" s="128"/>
      <c r="J32" s="134"/>
      <c r="K32" s="128"/>
    </row>
    <row r="33" spans="1:11" s="119" customFormat="1" ht="18.75">
      <c r="A33" s="128"/>
      <c r="B33" s="129"/>
      <c r="C33" s="130"/>
      <c r="D33" s="130"/>
      <c r="E33" s="128"/>
      <c r="F33" s="130"/>
      <c r="G33" s="131"/>
      <c r="H33" s="128"/>
      <c r="I33" s="128"/>
      <c r="J33" s="134"/>
      <c r="K33" s="128"/>
    </row>
    <row r="34" spans="1:11" s="119" customFormat="1" ht="18.75">
      <c r="A34" s="128"/>
      <c r="B34" s="129"/>
      <c r="C34" s="130"/>
      <c r="D34" s="130"/>
      <c r="E34" s="128"/>
      <c r="F34" s="130"/>
      <c r="G34" s="131"/>
      <c r="H34" s="128"/>
      <c r="I34" s="128"/>
      <c r="J34" s="134"/>
      <c r="K34" s="128"/>
    </row>
    <row r="35" spans="1:11" s="119" customFormat="1" ht="18.75">
      <c r="A35" s="170"/>
      <c r="B35" s="170"/>
      <c r="C35" s="128"/>
      <c r="D35" s="128"/>
      <c r="E35" s="170"/>
      <c r="F35" s="128"/>
      <c r="G35" s="131"/>
      <c r="H35" s="128"/>
      <c r="I35" s="128"/>
      <c r="J35" s="134"/>
      <c r="K35" s="128"/>
    </row>
    <row r="36" spans="1:11" s="119" customFormat="1" ht="18.75">
      <c r="A36" s="350"/>
      <c r="B36" s="350"/>
      <c r="C36" s="350"/>
      <c r="D36" s="350"/>
      <c r="E36" s="350"/>
      <c r="F36" s="350"/>
      <c r="G36" s="131"/>
      <c r="H36" s="128"/>
      <c r="I36" s="128"/>
      <c r="J36" s="376"/>
      <c r="K36" s="376"/>
    </row>
    <row r="37" spans="1:11" s="119" customFormat="1" ht="18.75">
      <c r="A37" s="128"/>
      <c r="B37" s="129"/>
      <c r="C37" s="130"/>
      <c r="D37" s="130"/>
      <c r="E37" s="128"/>
      <c r="F37" s="130"/>
      <c r="G37" s="131"/>
      <c r="H37" s="128"/>
      <c r="I37" s="128"/>
      <c r="J37" s="134"/>
      <c r="K37" s="128"/>
    </row>
    <row r="38" spans="1:11" s="119" customFormat="1" ht="18.75">
      <c r="A38" s="128"/>
      <c r="B38" s="129"/>
      <c r="C38" s="130"/>
      <c r="D38" s="130"/>
      <c r="E38" s="128"/>
      <c r="F38" s="130"/>
      <c r="G38" s="131"/>
      <c r="H38" s="128"/>
      <c r="I38" s="128"/>
      <c r="J38" s="134"/>
      <c r="K38" s="128"/>
    </row>
    <row r="39" spans="1:11" s="136" customFormat="1" ht="18.75">
      <c r="A39" s="350"/>
      <c r="B39" s="350"/>
      <c r="C39" s="350"/>
      <c r="D39" s="350"/>
      <c r="E39" s="350"/>
      <c r="F39" s="350"/>
      <c r="G39" s="134"/>
      <c r="H39" s="135"/>
      <c r="I39" s="135"/>
      <c r="J39" s="350"/>
      <c r="K39" s="350"/>
    </row>
    <row r="40" spans="1:11" s="119" customFormat="1" ht="18.75">
      <c r="A40" s="128"/>
      <c r="B40" s="129"/>
      <c r="C40" s="130"/>
      <c r="D40" s="130"/>
      <c r="E40" s="128"/>
      <c r="F40" s="130"/>
      <c r="G40" s="131"/>
      <c r="H40" s="128"/>
      <c r="I40" s="128"/>
      <c r="J40" s="134"/>
      <c r="K40" s="128"/>
    </row>
    <row r="41" spans="1:11" s="119" customFormat="1" ht="18.75">
      <c r="A41" s="128"/>
      <c r="B41" s="129"/>
      <c r="C41" s="130"/>
      <c r="D41" s="130"/>
      <c r="E41" s="128"/>
      <c r="F41" s="130"/>
      <c r="G41" s="131"/>
      <c r="H41" s="128"/>
      <c r="I41" s="128"/>
      <c r="J41" s="134"/>
      <c r="K41" s="128"/>
    </row>
    <row r="42" spans="1:11" s="119" customFormat="1" ht="18.75">
      <c r="A42" s="128"/>
      <c r="B42" s="129"/>
      <c r="C42" s="130"/>
      <c r="D42" s="130"/>
      <c r="E42" s="128"/>
      <c r="F42" s="130"/>
      <c r="G42" s="131"/>
      <c r="H42" s="128"/>
      <c r="I42" s="128"/>
      <c r="J42" s="134"/>
      <c r="K42" s="128"/>
    </row>
    <row r="43" spans="1:11" ht="18.75">
      <c r="A43" s="137"/>
      <c r="B43" s="138"/>
      <c r="C43" s="139"/>
      <c r="D43" s="139"/>
      <c r="E43" s="137"/>
      <c r="F43" s="139"/>
      <c r="G43" s="107"/>
      <c r="H43" s="137"/>
      <c r="I43" s="137"/>
      <c r="J43" s="104"/>
      <c r="K43" s="137"/>
    </row>
    <row r="44" spans="1:11" ht="18.75">
      <c r="A44" s="137"/>
      <c r="B44" s="138"/>
      <c r="C44" s="139"/>
      <c r="D44" s="139"/>
      <c r="E44" s="137"/>
      <c r="F44" s="139"/>
      <c r="G44" s="107"/>
      <c r="H44" s="137"/>
      <c r="I44" s="137"/>
      <c r="J44" s="104"/>
      <c r="K44" s="137"/>
    </row>
    <row r="45" spans="1:11" ht="18.75">
      <c r="A45" s="137"/>
      <c r="B45" s="138"/>
      <c r="C45" s="139"/>
      <c r="D45" s="139"/>
      <c r="E45" s="137"/>
      <c r="F45" s="139"/>
      <c r="G45" s="107"/>
      <c r="H45" s="137"/>
      <c r="I45" s="137"/>
      <c r="J45" s="104"/>
      <c r="K45" s="137"/>
    </row>
    <row r="46" spans="1:11" ht="18.75">
      <c r="A46" s="137"/>
      <c r="B46" s="138"/>
      <c r="C46" s="139"/>
      <c r="D46" s="139"/>
      <c r="E46" s="137"/>
      <c r="F46" s="139"/>
      <c r="G46" s="107"/>
      <c r="H46" s="137"/>
      <c r="I46" s="137"/>
      <c r="J46" s="104"/>
      <c r="K46" s="137"/>
    </row>
    <row r="47" spans="1:11" ht="18.75">
      <c r="A47" s="137"/>
      <c r="B47" s="138"/>
      <c r="C47" s="139"/>
      <c r="D47" s="139"/>
      <c r="E47" s="137"/>
      <c r="F47" s="139"/>
      <c r="G47" s="107"/>
      <c r="H47" s="137"/>
      <c r="I47" s="137"/>
      <c r="J47" s="104"/>
      <c r="K47" s="137"/>
    </row>
    <row r="48" spans="1:11" ht="18.75">
      <c r="A48" s="137"/>
      <c r="B48" s="138"/>
      <c r="C48" s="139"/>
      <c r="D48" s="139"/>
      <c r="E48" s="137"/>
      <c r="F48" s="139"/>
      <c r="G48" s="107"/>
      <c r="H48" s="137"/>
      <c r="I48" s="137"/>
      <c r="J48" s="104"/>
      <c r="K48" s="137"/>
    </row>
    <row r="49" spans="1:11" ht="18.75">
      <c r="A49" s="137"/>
      <c r="B49" s="138"/>
      <c r="C49" s="139"/>
      <c r="D49" s="139"/>
      <c r="E49" s="137"/>
      <c r="F49" s="139"/>
      <c r="G49" s="107"/>
      <c r="H49" s="137"/>
      <c r="I49" s="137"/>
      <c r="J49" s="104"/>
      <c r="K49" s="137"/>
    </row>
    <row r="50" spans="1:11" ht="18.75">
      <c r="A50" s="137"/>
      <c r="B50" s="138"/>
      <c r="C50" s="139"/>
      <c r="D50" s="139"/>
      <c r="E50" s="137"/>
      <c r="F50" s="139"/>
      <c r="G50" s="107"/>
      <c r="H50" s="137"/>
      <c r="I50" s="137"/>
      <c r="J50" s="104"/>
      <c r="K50" s="137"/>
    </row>
    <row r="51" spans="1:11" ht="18.75">
      <c r="A51" s="137"/>
      <c r="B51" s="138"/>
      <c r="C51" s="139"/>
      <c r="D51" s="139"/>
      <c r="E51" s="137"/>
      <c r="F51" s="139"/>
      <c r="G51" s="107"/>
      <c r="H51" s="137"/>
      <c r="I51" s="137"/>
      <c r="J51" s="104"/>
      <c r="K51" s="137"/>
    </row>
    <row r="52" spans="1:11" ht="18.75">
      <c r="A52" s="137"/>
      <c r="B52" s="138"/>
      <c r="C52" s="139"/>
      <c r="D52" s="139"/>
      <c r="E52" s="137"/>
      <c r="F52" s="139"/>
      <c r="G52" s="107"/>
      <c r="H52" s="137"/>
      <c r="I52" s="137"/>
      <c r="J52" s="104"/>
      <c r="K52" s="137"/>
    </row>
    <row r="53" spans="1:11" ht="18.75">
      <c r="A53" s="137"/>
      <c r="B53" s="138"/>
      <c r="C53" s="139"/>
      <c r="D53" s="139"/>
      <c r="E53" s="137"/>
      <c r="F53" s="139"/>
      <c r="G53" s="107"/>
      <c r="H53" s="137"/>
      <c r="I53" s="137"/>
      <c r="J53" s="104"/>
      <c r="K53" s="137"/>
    </row>
    <row r="54" spans="1:11" ht="18.75">
      <c r="A54" s="137"/>
      <c r="B54" s="138"/>
      <c r="C54" s="139"/>
      <c r="D54" s="139"/>
      <c r="E54" s="137"/>
      <c r="F54" s="139"/>
      <c r="G54" s="107"/>
      <c r="H54" s="137"/>
      <c r="I54" s="137"/>
      <c r="J54" s="104"/>
      <c r="K54" s="137"/>
    </row>
    <row r="55" spans="1:11" ht="18.75">
      <c r="A55" s="137"/>
      <c r="B55" s="138"/>
      <c r="C55" s="139"/>
      <c r="D55" s="139"/>
      <c r="E55" s="137"/>
      <c r="F55" s="139"/>
      <c r="G55" s="107"/>
      <c r="H55" s="137"/>
      <c r="I55" s="137"/>
      <c r="J55" s="104"/>
      <c r="K55" s="137"/>
    </row>
    <row r="56" spans="1:11" ht="18.75">
      <c r="A56" s="137"/>
      <c r="B56" s="138"/>
      <c r="C56" s="139"/>
      <c r="D56" s="139"/>
      <c r="E56" s="137"/>
      <c r="F56" s="139"/>
      <c r="G56" s="107"/>
      <c r="H56" s="137"/>
      <c r="I56" s="137"/>
      <c r="J56" s="104"/>
      <c r="K56" s="137"/>
    </row>
    <row r="57" spans="1:11" ht="18.75">
      <c r="A57" s="137"/>
      <c r="B57" s="138"/>
      <c r="C57" s="139"/>
      <c r="D57" s="139"/>
      <c r="E57" s="137"/>
      <c r="F57" s="139"/>
      <c r="G57" s="107"/>
      <c r="H57" s="137"/>
      <c r="I57" s="137"/>
      <c r="J57" s="104"/>
      <c r="K57" s="137"/>
    </row>
    <row r="58" spans="1:11" ht="18.75">
      <c r="A58" s="137"/>
      <c r="B58" s="138"/>
      <c r="C58" s="139"/>
      <c r="D58" s="139"/>
      <c r="E58" s="137"/>
      <c r="F58" s="139"/>
      <c r="G58" s="107"/>
      <c r="H58" s="137"/>
      <c r="I58" s="137"/>
      <c r="J58" s="104"/>
      <c r="K58" s="137"/>
    </row>
    <row r="59" spans="1:11" ht="18.75">
      <c r="A59" s="137"/>
      <c r="B59" s="138"/>
      <c r="C59" s="139"/>
      <c r="D59" s="139"/>
      <c r="E59" s="137"/>
      <c r="F59" s="139"/>
      <c r="G59" s="107"/>
      <c r="H59" s="137"/>
      <c r="I59" s="137"/>
      <c r="J59" s="104"/>
      <c r="K59" s="137"/>
    </row>
    <row r="60" spans="1:11" ht="18.75">
      <c r="A60" s="137"/>
      <c r="B60" s="138"/>
      <c r="C60" s="139"/>
      <c r="D60" s="139"/>
      <c r="E60" s="137"/>
      <c r="F60" s="139"/>
      <c r="G60" s="107"/>
      <c r="H60" s="137"/>
      <c r="I60" s="137"/>
      <c r="J60" s="104"/>
      <c r="K60" s="137"/>
    </row>
    <row r="61" spans="1:11" ht="18.75">
      <c r="A61" s="137"/>
      <c r="B61" s="138"/>
      <c r="C61" s="139"/>
      <c r="D61" s="139"/>
      <c r="E61" s="137"/>
      <c r="F61" s="139"/>
      <c r="G61" s="107"/>
      <c r="H61" s="137"/>
      <c r="I61" s="137"/>
      <c r="J61" s="104"/>
      <c r="K61" s="137"/>
    </row>
    <row r="62" spans="1:11" ht="18.75">
      <c r="A62" s="137"/>
      <c r="B62" s="138"/>
      <c r="C62" s="139"/>
      <c r="D62" s="139"/>
      <c r="E62" s="137"/>
      <c r="F62" s="139"/>
      <c r="G62" s="107"/>
      <c r="H62" s="137"/>
      <c r="I62" s="137"/>
      <c r="J62" s="104"/>
      <c r="K62" s="137"/>
    </row>
    <row r="63" spans="1:11" ht="18.75">
      <c r="A63" s="137"/>
      <c r="B63" s="138"/>
      <c r="C63" s="139"/>
      <c r="D63" s="139"/>
      <c r="E63" s="137"/>
      <c r="F63" s="139"/>
      <c r="G63" s="107"/>
      <c r="H63" s="137"/>
      <c r="I63" s="137"/>
      <c r="J63" s="104"/>
      <c r="K63" s="137"/>
    </row>
    <row r="64" spans="1:11" ht="18.75">
      <c r="A64" s="137"/>
      <c r="B64" s="138"/>
      <c r="C64" s="139"/>
      <c r="D64" s="139"/>
      <c r="E64" s="137"/>
      <c r="F64" s="139"/>
      <c r="G64" s="107"/>
      <c r="H64" s="137"/>
      <c r="I64" s="137"/>
      <c r="J64" s="104"/>
      <c r="K64" s="137"/>
    </row>
    <row r="65" spans="1:11" ht="18.75">
      <c r="A65" s="137"/>
      <c r="B65" s="138"/>
      <c r="C65" s="139"/>
      <c r="D65" s="139"/>
      <c r="E65" s="137"/>
      <c r="F65" s="139"/>
      <c r="G65" s="107"/>
      <c r="H65" s="137"/>
      <c r="I65" s="137"/>
      <c r="J65" s="104"/>
      <c r="K65" s="137"/>
    </row>
    <row r="66" spans="1:11" ht="18.75">
      <c r="A66" s="137"/>
      <c r="B66" s="138"/>
      <c r="C66" s="139"/>
      <c r="D66" s="139"/>
      <c r="E66" s="137"/>
      <c r="F66" s="139"/>
      <c r="G66" s="107"/>
      <c r="H66" s="137"/>
      <c r="I66" s="137"/>
      <c r="J66" s="104"/>
      <c r="K66" s="137"/>
    </row>
    <row r="67" spans="1:11" ht="18.75">
      <c r="A67" s="137"/>
      <c r="B67" s="138"/>
      <c r="C67" s="139"/>
      <c r="D67" s="139"/>
      <c r="E67" s="137"/>
      <c r="F67" s="139"/>
      <c r="G67" s="107"/>
      <c r="H67" s="137"/>
      <c r="I67" s="137"/>
      <c r="J67" s="104"/>
      <c r="K67" s="137"/>
    </row>
    <row r="68" spans="1:11" ht="18.75">
      <c r="A68" s="137"/>
      <c r="B68" s="138"/>
      <c r="C68" s="139"/>
      <c r="D68" s="139"/>
      <c r="E68" s="137"/>
      <c r="F68" s="139"/>
      <c r="G68" s="107"/>
      <c r="H68" s="137"/>
      <c r="I68" s="137"/>
      <c r="J68" s="104"/>
      <c r="K68" s="137"/>
    </row>
    <row r="69" spans="1:11" ht="18.75">
      <c r="A69" s="137"/>
      <c r="B69" s="138"/>
      <c r="C69" s="139"/>
      <c r="D69" s="139"/>
      <c r="E69" s="137"/>
      <c r="F69" s="139"/>
      <c r="G69" s="107"/>
      <c r="H69" s="137"/>
      <c r="I69" s="137"/>
      <c r="J69" s="104"/>
      <c r="K69" s="137"/>
    </row>
    <row r="70" spans="1:11" ht="18.75">
      <c r="A70" s="137"/>
      <c r="B70" s="138"/>
      <c r="C70" s="139"/>
      <c r="D70" s="139"/>
      <c r="E70" s="137"/>
      <c r="F70" s="139"/>
      <c r="G70" s="107"/>
      <c r="H70" s="137"/>
      <c r="I70" s="137"/>
      <c r="J70" s="104"/>
      <c r="K70" s="137"/>
    </row>
    <row r="71" spans="1:11" ht="18.75">
      <c r="A71" s="137"/>
      <c r="B71" s="138"/>
      <c r="C71" s="139"/>
      <c r="D71" s="139"/>
      <c r="E71" s="137"/>
      <c r="F71" s="139"/>
      <c r="G71" s="107"/>
      <c r="H71" s="137"/>
      <c r="I71" s="137"/>
      <c r="J71" s="104"/>
      <c r="K71" s="137"/>
    </row>
    <row r="72" spans="1:11" ht="18.75">
      <c r="A72" s="137"/>
      <c r="B72" s="138"/>
      <c r="C72" s="139"/>
      <c r="D72" s="139"/>
      <c r="E72" s="137"/>
      <c r="F72" s="139"/>
      <c r="G72" s="107"/>
      <c r="H72" s="137"/>
      <c r="I72" s="137"/>
      <c r="J72" s="104"/>
      <c r="K72" s="137"/>
    </row>
    <row r="73" spans="1:11" ht="18.75">
      <c r="A73" s="137"/>
      <c r="B73" s="138"/>
      <c r="C73" s="139"/>
      <c r="D73" s="139"/>
      <c r="E73" s="137"/>
      <c r="F73" s="139"/>
      <c r="G73" s="107"/>
      <c r="H73" s="137"/>
      <c r="I73" s="137"/>
      <c r="J73" s="104"/>
      <c r="K73" s="137"/>
    </row>
    <row r="74" spans="1:11" ht="18.75">
      <c r="A74" s="137"/>
      <c r="B74" s="138"/>
      <c r="C74" s="139"/>
      <c r="D74" s="139"/>
      <c r="E74" s="137"/>
      <c r="F74" s="139"/>
      <c r="G74" s="107"/>
      <c r="H74" s="137"/>
      <c r="I74" s="137"/>
      <c r="J74" s="104"/>
      <c r="K74" s="137"/>
    </row>
    <row r="75" spans="1:11" ht="18.75">
      <c r="A75" s="137"/>
      <c r="B75" s="138"/>
      <c r="C75" s="139"/>
      <c r="D75" s="139"/>
      <c r="E75" s="137"/>
      <c r="F75" s="139"/>
      <c r="G75" s="107"/>
      <c r="H75" s="137"/>
      <c r="I75" s="137"/>
      <c r="J75" s="104"/>
      <c r="K75" s="137"/>
    </row>
    <row r="76" spans="1:11" ht="18.75">
      <c r="A76" s="137"/>
      <c r="B76" s="138"/>
      <c r="C76" s="139"/>
      <c r="D76" s="139"/>
      <c r="E76" s="137"/>
      <c r="F76" s="139"/>
      <c r="G76" s="107"/>
      <c r="H76" s="137"/>
      <c r="I76" s="137"/>
      <c r="J76" s="104"/>
      <c r="K76" s="137"/>
    </row>
    <row r="77" spans="1:11" ht="18.75">
      <c r="A77" s="137"/>
      <c r="B77" s="138"/>
      <c r="C77" s="139"/>
      <c r="D77" s="139"/>
      <c r="E77" s="137"/>
      <c r="F77" s="139"/>
      <c r="G77" s="107"/>
      <c r="H77" s="137"/>
      <c r="I77" s="137"/>
      <c r="J77" s="104"/>
      <c r="K77" s="137"/>
    </row>
    <row r="78" spans="1:11" ht="18.75">
      <c r="A78" s="137"/>
      <c r="B78" s="138"/>
      <c r="C78" s="139"/>
      <c r="D78" s="139"/>
      <c r="E78" s="137"/>
      <c r="F78" s="139"/>
      <c r="G78" s="107"/>
      <c r="H78" s="137"/>
      <c r="I78" s="137"/>
      <c r="J78" s="104"/>
      <c r="K78" s="137"/>
    </row>
    <row r="79" spans="1:11" ht="18.75">
      <c r="A79" s="137"/>
      <c r="B79" s="138"/>
      <c r="C79" s="139"/>
      <c r="D79" s="139"/>
      <c r="E79" s="137"/>
      <c r="F79" s="139"/>
      <c r="G79" s="107"/>
      <c r="H79" s="137"/>
      <c r="I79" s="137"/>
      <c r="J79" s="104"/>
      <c r="K79" s="137"/>
    </row>
    <row r="80" spans="1:11" ht="18.75">
      <c r="A80" s="137"/>
      <c r="B80" s="138"/>
      <c r="C80" s="139"/>
      <c r="D80" s="139"/>
      <c r="E80" s="137"/>
      <c r="F80" s="139"/>
      <c r="G80" s="107"/>
      <c r="H80" s="137"/>
      <c r="I80" s="137"/>
      <c r="J80" s="104"/>
      <c r="K80" s="137"/>
    </row>
    <row r="81" spans="1:11" ht="18.75">
      <c r="A81" s="137"/>
      <c r="B81" s="138"/>
      <c r="C81" s="139"/>
      <c r="D81" s="139"/>
      <c r="E81" s="137"/>
      <c r="F81" s="139"/>
      <c r="G81" s="107"/>
      <c r="H81" s="137"/>
      <c r="I81" s="137"/>
      <c r="J81" s="104"/>
      <c r="K81" s="137"/>
    </row>
    <row r="82" spans="1:11" ht="18.75">
      <c r="A82" s="137"/>
      <c r="B82" s="138"/>
      <c r="C82" s="139"/>
      <c r="D82" s="139"/>
      <c r="E82" s="137"/>
      <c r="F82" s="139"/>
      <c r="G82" s="107"/>
      <c r="H82" s="137"/>
      <c r="I82" s="137"/>
      <c r="J82" s="104"/>
      <c r="K82" s="137"/>
    </row>
    <row r="83" spans="1:11" ht="18.75">
      <c r="A83" s="137"/>
      <c r="B83" s="138"/>
      <c r="C83" s="139"/>
      <c r="D83" s="139"/>
      <c r="E83" s="137"/>
      <c r="F83" s="139"/>
      <c r="G83" s="107"/>
      <c r="H83" s="137"/>
      <c r="I83" s="137"/>
      <c r="J83" s="104"/>
      <c r="K83" s="137"/>
    </row>
    <row r="84" spans="1:11" ht="18.75">
      <c r="A84" s="137"/>
      <c r="B84" s="138"/>
      <c r="C84" s="139"/>
      <c r="D84" s="139"/>
      <c r="E84" s="137"/>
      <c r="F84" s="139"/>
      <c r="G84" s="107"/>
      <c r="H84" s="137"/>
      <c r="I84" s="137"/>
      <c r="J84" s="104"/>
      <c r="K84" s="137"/>
    </row>
    <row r="85" spans="1:11" ht="18.75">
      <c r="A85" s="137"/>
      <c r="B85" s="138"/>
      <c r="C85" s="139"/>
      <c r="D85" s="139"/>
      <c r="E85" s="137"/>
      <c r="F85" s="139"/>
      <c r="G85" s="107"/>
      <c r="H85" s="137"/>
      <c r="I85" s="137"/>
      <c r="J85" s="104"/>
      <c r="K85" s="137"/>
    </row>
    <row r="86" spans="1:11" ht="18.75">
      <c r="A86" s="137"/>
      <c r="B86" s="138"/>
      <c r="C86" s="139"/>
      <c r="D86" s="139"/>
      <c r="E86" s="137"/>
      <c r="F86" s="139"/>
      <c r="G86" s="107"/>
      <c r="H86" s="137"/>
      <c r="I86" s="137"/>
      <c r="J86" s="104"/>
      <c r="K86" s="137"/>
    </row>
    <row r="87" spans="1:11" ht="18.75">
      <c r="A87" s="137"/>
      <c r="B87" s="138"/>
      <c r="C87" s="139"/>
      <c r="D87" s="139"/>
      <c r="E87" s="137"/>
      <c r="F87" s="139"/>
      <c r="G87" s="107"/>
      <c r="H87" s="137"/>
      <c r="I87" s="137"/>
      <c r="J87" s="104"/>
      <c r="K87" s="137"/>
    </row>
    <row r="88" spans="1:11" ht="18.75">
      <c r="A88" s="137"/>
      <c r="B88" s="138"/>
      <c r="C88" s="139"/>
      <c r="D88" s="139"/>
      <c r="E88" s="137"/>
      <c r="F88" s="139"/>
      <c r="G88" s="107"/>
      <c r="H88" s="137"/>
      <c r="I88" s="137"/>
      <c r="J88" s="104"/>
      <c r="K88" s="137"/>
    </row>
    <row r="89" spans="1:11" ht="18.75">
      <c r="A89" s="137"/>
      <c r="B89" s="138"/>
      <c r="C89" s="139"/>
      <c r="D89" s="139"/>
      <c r="E89" s="137"/>
      <c r="F89" s="139"/>
      <c r="G89" s="107"/>
      <c r="H89" s="137"/>
      <c r="I89" s="137"/>
      <c r="J89" s="104"/>
      <c r="K89" s="137"/>
    </row>
    <row r="90" spans="1:11" ht="18.75">
      <c r="A90" s="137"/>
      <c r="B90" s="138"/>
      <c r="C90" s="139"/>
      <c r="D90" s="139"/>
      <c r="E90" s="137"/>
      <c r="F90" s="139"/>
      <c r="G90" s="107"/>
      <c r="H90" s="137"/>
      <c r="I90" s="137"/>
      <c r="J90" s="104"/>
      <c r="K90" s="137"/>
    </row>
    <row r="91" spans="1:11" ht="18.75">
      <c r="A91" s="137"/>
      <c r="B91" s="138"/>
      <c r="C91" s="139"/>
      <c r="D91" s="139"/>
      <c r="E91" s="137"/>
      <c r="F91" s="139"/>
      <c r="G91" s="107"/>
      <c r="H91" s="137"/>
      <c r="I91" s="137"/>
      <c r="J91" s="104"/>
      <c r="K91" s="137"/>
    </row>
    <row r="92" spans="1:11" ht="18.75">
      <c r="A92" s="137"/>
      <c r="B92" s="138"/>
      <c r="C92" s="139"/>
      <c r="D92" s="139"/>
      <c r="E92" s="137"/>
      <c r="F92" s="139"/>
      <c r="G92" s="107"/>
      <c r="H92" s="137"/>
      <c r="I92" s="137"/>
      <c r="J92" s="104"/>
      <c r="K92" s="137"/>
    </row>
    <row r="93" spans="1:11" ht="18.75">
      <c r="A93" s="137"/>
      <c r="B93" s="138"/>
      <c r="C93" s="139"/>
      <c r="D93" s="139"/>
      <c r="E93" s="137"/>
      <c r="F93" s="139"/>
      <c r="G93" s="107"/>
      <c r="H93" s="137"/>
      <c r="I93" s="137"/>
      <c r="J93" s="104"/>
      <c r="K93" s="137"/>
    </row>
    <row r="94" spans="1:11" ht="18.75">
      <c r="A94" s="137"/>
      <c r="B94" s="138"/>
      <c r="C94" s="139"/>
      <c r="D94" s="139"/>
      <c r="E94" s="137"/>
      <c r="F94" s="139"/>
      <c r="G94" s="107"/>
      <c r="H94" s="137"/>
      <c r="I94" s="137"/>
      <c r="J94" s="104"/>
      <c r="K94" s="137"/>
    </row>
    <row r="95" spans="1:11" ht="18.75">
      <c r="A95" s="137"/>
      <c r="B95" s="138"/>
      <c r="C95" s="139"/>
      <c r="D95" s="139"/>
      <c r="E95" s="137"/>
      <c r="F95" s="139"/>
      <c r="G95" s="107"/>
      <c r="H95" s="137"/>
      <c r="I95" s="137"/>
      <c r="J95" s="104"/>
      <c r="K95" s="137"/>
    </row>
    <row r="96" spans="1:11" ht="18.75">
      <c r="A96" s="137"/>
      <c r="B96" s="138"/>
      <c r="C96" s="139"/>
      <c r="D96" s="139"/>
      <c r="E96" s="137"/>
      <c r="F96" s="139"/>
      <c r="G96" s="107"/>
      <c r="H96" s="137"/>
      <c r="I96" s="137"/>
      <c r="J96" s="104"/>
      <c r="K96" s="137"/>
    </row>
    <row r="97" spans="1:11" ht="18.75">
      <c r="A97" s="137"/>
      <c r="B97" s="138"/>
      <c r="C97" s="139"/>
      <c r="D97" s="139"/>
      <c r="E97" s="137"/>
      <c r="F97" s="139"/>
      <c r="G97" s="107"/>
      <c r="H97" s="137"/>
      <c r="I97" s="137"/>
      <c r="J97" s="104"/>
      <c r="K97" s="137"/>
    </row>
    <row r="98" spans="1:11" ht="18.75">
      <c r="A98" s="137"/>
      <c r="B98" s="138"/>
      <c r="C98" s="139"/>
      <c r="D98" s="139"/>
      <c r="E98" s="137"/>
      <c r="F98" s="139"/>
      <c r="G98" s="107"/>
      <c r="H98" s="137"/>
      <c r="I98" s="137"/>
      <c r="J98" s="104"/>
      <c r="K98" s="137"/>
    </row>
    <row r="99" spans="1:11" ht="18.75">
      <c r="A99" s="137"/>
      <c r="B99" s="138"/>
      <c r="C99" s="139"/>
      <c r="D99" s="139"/>
      <c r="E99" s="137"/>
      <c r="F99" s="139"/>
      <c r="G99" s="107"/>
      <c r="H99" s="137"/>
      <c r="I99" s="137"/>
      <c r="J99" s="104"/>
      <c r="K99" s="137"/>
    </row>
    <row r="100" spans="1:11" ht="18.75">
      <c r="A100" s="137"/>
      <c r="B100" s="138"/>
      <c r="C100" s="139"/>
      <c r="D100" s="139"/>
      <c r="E100" s="137"/>
      <c r="F100" s="139"/>
      <c r="G100" s="107"/>
      <c r="H100" s="137"/>
      <c r="I100" s="137"/>
      <c r="J100" s="104"/>
      <c r="K100" s="137"/>
    </row>
    <row r="101" spans="1:11" ht="18.75">
      <c r="A101" s="137"/>
      <c r="B101" s="138"/>
      <c r="C101" s="139"/>
      <c r="D101" s="139"/>
      <c r="E101" s="137"/>
      <c r="F101" s="139"/>
      <c r="G101" s="107"/>
      <c r="H101" s="137"/>
      <c r="I101" s="137"/>
      <c r="J101" s="104"/>
      <c r="K101" s="137"/>
    </row>
    <row r="102" spans="1:11" ht="18.75">
      <c r="A102" s="137"/>
      <c r="B102" s="138"/>
      <c r="C102" s="139"/>
      <c r="D102" s="139"/>
      <c r="E102" s="137"/>
      <c r="F102" s="139"/>
      <c r="G102" s="107"/>
      <c r="H102" s="137"/>
      <c r="I102" s="137"/>
      <c r="J102" s="104"/>
      <c r="K102" s="137"/>
    </row>
    <row r="103" spans="1:11" ht="18.75">
      <c r="A103" s="137"/>
      <c r="B103" s="138"/>
      <c r="C103" s="139"/>
      <c r="D103" s="139"/>
      <c r="E103" s="137"/>
      <c r="F103" s="139"/>
      <c r="G103" s="107"/>
      <c r="H103" s="137"/>
      <c r="I103" s="137"/>
      <c r="J103" s="104"/>
      <c r="K103" s="137"/>
    </row>
    <row r="104" spans="1:11" ht="18.75">
      <c r="A104" s="137"/>
      <c r="B104" s="138"/>
      <c r="C104" s="139"/>
      <c r="D104" s="139"/>
      <c r="E104" s="137"/>
      <c r="F104" s="139"/>
      <c r="G104" s="107"/>
      <c r="H104" s="137"/>
      <c r="I104" s="137"/>
      <c r="J104" s="104"/>
      <c r="K104" s="137"/>
    </row>
    <row r="105" spans="1:11" ht="18.75">
      <c r="A105" s="137"/>
      <c r="B105" s="138"/>
      <c r="C105" s="139"/>
      <c r="D105" s="139"/>
      <c r="E105" s="137"/>
      <c r="F105" s="139"/>
      <c r="G105" s="107"/>
      <c r="H105" s="137"/>
      <c r="I105" s="137"/>
      <c r="J105" s="104"/>
      <c r="K105" s="137"/>
    </row>
    <row r="106" spans="1:11" ht="18.75">
      <c r="A106" s="137"/>
      <c r="B106" s="138"/>
      <c r="C106" s="139"/>
      <c r="D106" s="139"/>
      <c r="E106" s="137"/>
      <c r="F106" s="139"/>
      <c r="G106" s="107"/>
      <c r="H106" s="137"/>
      <c r="I106" s="137"/>
      <c r="J106" s="104"/>
      <c r="K106" s="137"/>
    </row>
    <row r="107" spans="1:11" ht="18.75">
      <c r="A107" s="137"/>
      <c r="B107" s="138"/>
      <c r="C107" s="139"/>
      <c r="D107" s="139"/>
      <c r="E107" s="137"/>
      <c r="F107" s="139"/>
      <c r="G107" s="107"/>
      <c r="H107" s="137"/>
      <c r="I107" s="137"/>
      <c r="J107" s="104"/>
      <c r="K107" s="137"/>
    </row>
    <row r="108" spans="1:11" ht="18.75">
      <c r="A108" s="137"/>
      <c r="B108" s="138"/>
      <c r="C108" s="139"/>
      <c r="D108" s="139"/>
      <c r="E108" s="137"/>
      <c r="F108" s="139"/>
      <c r="G108" s="107"/>
      <c r="H108" s="137"/>
      <c r="I108" s="137"/>
      <c r="J108" s="104"/>
      <c r="K108" s="137"/>
    </row>
    <row r="109" spans="1:11" ht="18.75">
      <c r="A109" s="137"/>
      <c r="B109" s="138"/>
      <c r="C109" s="139"/>
      <c r="D109" s="139"/>
      <c r="E109" s="137"/>
      <c r="F109" s="139"/>
      <c r="G109" s="107"/>
      <c r="H109" s="137"/>
      <c r="I109" s="137"/>
      <c r="J109" s="104"/>
      <c r="K109" s="137"/>
    </row>
    <row r="110" spans="1:11" ht="18.75">
      <c r="A110" s="137"/>
      <c r="B110" s="138"/>
      <c r="C110" s="139"/>
      <c r="D110" s="139"/>
      <c r="E110" s="137"/>
      <c r="F110" s="139"/>
      <c r="G110" s="107"/>
      <c r="H110" s="137"/>
      <c r="I110" s="137"/>
      <c r="J110" s="104"/>
      <c r="K110" s="137"/>
    </row>
    <row r="111" spans="1:11" ht="18.75">
      <c r="A111" s="137"/>
      <c r="B111" s="138"/>
      <c r="C111" s="139"/>
      <c r="D111" s="139"/>
      <c r="E111" s="137"/>
      <c r="F111" s="139"/>
      <c r="G111" s="107"/>
      <c r="H111" s="137"/>
      <c r="I111" s="137"/>
      <c r="J111" s="104"/>
      <c r="K111" s="137"/>
    </row>
    <row r="112" spans="1:11" ht="18.75">
      <c r="A112" s="137"/>
      <c r="B112" s="138"/>
      <c r="C112" s="139"/>
      <c r="D112" s="139"/>
      <c r="E112" s="137"/>
      <c r="F112" s="139"/>
      <c r="G112" s="107"/>
      <c r="H112" s="137"/>
      <c r="I112" s="137"/>
      <c r="J112" s="104"/>
      <c r="K112" s="137"/>
    </row>
    <row r="113" spans="1:11" ht="18.75">
      <c r="A113" s="137"/>
      <c r="B113" s="138"/>
      <c r="C113" s="139"/>
      <c r="D113" s="139"/>
      <c r="E113" s="137"/>
      <c r="F113" s="139"/>
      <c r="G113" s="107"/>
      <c r="H113" s="137"/>
      <c r="I113" s="137"/>
      <c r="J113" s="104"/>
      <c r="K113" s="137"/>
    </row>
    <row r="114" spans="1:11" ht="18.75">
      <c r="A114" s="137"/>
      <c r="B114" s="138"/>
      <c r="C114" s="139"/>
      <c r="D114" s="139"/>
      <c r="E114" s="137"/>
      <c r="F114" s="139"/>
      <c r="G114" s="107"/>
      <c r="H114" s="137"/>
      <c r="I114" s="137"/>
      <c r="J114" s="104"/>
      <c r="K114" s="137"/>
    </row>
    <row r="115" spans="1:11" ht="18.75">
      <c r="A115" s="137"/>
      <c r="B115" s="138"/>
      <c r="C115" s="139"/>
      <c r="D115" s="139"/>
      <c r="E115" s="137"/>
      <c r="F115" s="139"/>
      <c r="G115" s="107"/>
      <c r="H115" s="137"/>
      <c r="I115" s="137"/>
      <c r="J115" s="104"/>
      <c r="K115" s="137"/>
    </row>
    <row r="116" spans="1:11" ht="18.75">
      <c r="A116" s="137"/>
      <c r="B116" s="138"/>
      <c r="C116" s="139"/>
      <c r="D116" s="139"/>
      <c r="E116" s="137"/>
      <c r="F116" s="139"/>
      <c r="G116" s="107"/>
      <c r="H116" s="137"/>
      <c r="I116" s="137"/>
      <c r="J116" s="104"/>
      <c r="K116" s="137"/>
    </row>
    <row r="117" spans="1:11" ht="18.75">
      <c r="A117" s="137"/>
      <c r="B117" s="138"/>
      <c r="C117" s="139"/>
      <c r="D117" s="139"/>
      <c r="E117" s="137"/>
      <c r="F117" s="139"/>
      <c r="G117" s="107"/>
      <c r="H117" s="137"/>
      <c r="I117" s="137"/>
      <c r="J117" s="104"/>
      <c r="K117" s="137"/>
    </row>
    <row r="118" spans="1:11" ht="18.75">
      <c r="A118" s="137"/>
      <c r="B118" s="138"/>
      <c r="C118" s="139"/>
      <c r="D118" s="139"/>
      <c r="E118" s="137"/>
      <c r="F118" s="139"/>
      <c r="G118" s="107"/>
      <c r="H118" s="137"/>
      <c r="I118" s="137"/>
      <c r="J118" s="104"/>
      <c r="K118" s="137"/>
    </row>
    <row r="119" spans="1:11" ht="18.75">
      <c r="A119" s="137"/>
      <c r="B119" s="138"/>
      <c r="C119" s="139"/>
      <c r="D119" s="139"/>
      <c r="E119" s="137"/>
      <c r="F119" s="139"/>
      <c r="G119" s="107"/>
      <c r="H119" s="137"/>
      <c r="I119" s="137"/>
      <c r="J119" s="104"/>
      <c r="K119" s="137"/>
    </row>
    <row r="120" spans="1:11" ht="18.75">
      <c r="A120" s="137"/>
      <c r="B120" s="138"/>
      <c r="C120" s="139"/>
      <c r="D120" s="139"/>
      <c r="E120" s="137"/>
      <c r="F120" s="139"/>
      <c r="G120" s="107"/>
      <c r="H120" s="137"/>
      <c r="I120" s="137"/>
      <c r="J120" s="104"/>
      <c r="K120" s="137"/>
    </row>
    <row r="121" spans="1:11" ht="18.75">
      <c r="A121" s="137"/>
      <c r="B121" s="138"/>
      <c r="C121" s="139"/>
      <c r="D121" s="139"/>
      <c r="E121" s="137"/>
      <c r="F121" s="139"/>
      <c r="G121" s="107"/>
      <c r="H121" s="137"/>
      <c r="I121" s="137"/>
      <c r="J121" s="104"/>
      <c r="K121" s="137"/>
    </row>
    <row r="122" spans="1:11" ht="18.75">
      <c r="A122" s="137"/>
      <c r="B122" s="138"/>
      <c r="C122" s="139"/>
      <c r="D122" s="139"/>
      <c r="E122" s="137"/>
      <c r="F122" s="139"/>
      <c r="G122" s="107"/>
      <c r="H122" s="137"/>
      <c r="I122" s="137"/>
      <c r="J122" s="104"/>
      <c r="K122" s="137"/>
    </row>
    <row r="123" spans="1:11" ht="18.75">
      <c r="A123" s="137"/>
      <c r="B123" s="138"/>
      <c r="C123" s="139"/>
      <c r="D123" s="139"/>
      <c r="E123" s="137"/>
      <c r="F123" s="139"/>
      <c r="G123" s="107"/>
      <c r="H123" s="137"/>
      <c r="I123" s="137"/>
      <c r="J123" s="104"/>
      <c r="K123" s="137"/>
    </row>
    <row r="124" spans="1:11" ht="18.75">
      <c r="A124" s="137"/>
      <c r="B124" s="138"/>
      <c r="C124" s="139"/>
      <c r="D124" s="139"/>
      <c r="E124" s="137"/>
      <c r="F124" s="139"/>
      <c r="G124" s="107"/>
      <c r="H124" s="137"/>
      <c r="I124" s="137"/>
      <c r="J124" s="104"/>
      <c r="K124" s="137"/>
    </row>
    <row r="125" spans="1:11" ht="18.75">
      <c r="A125" s="137"/>
      <c r="B125" s="138"/>
      <c r="C125" s="139"/>
      <c r="D125" s="139"/>
      <c r="E125" s="137"/>
      <c r="F125" s="139"/>
      <c r="G125" s="107"/>
      <c r="H125" s="137"/>
      <c r="I125" s="137"/>
      <c r="J125" s="104"/>
      <c r="K125" s="137"/>
    </row>
    <row r="126" spans="1:11" ht="18.75">
      <c r="A126" s="137"/>
      <c r="B126" s="138"/>
      <c r="C126" s="139"/>
      <c r="D126" s="139"/>
      <c r="E126" s="137"/>
      <c r="F126" s="139"/>
      <c r="G126" s="107"/>
      <c r="H126" s="137"/>
      <c r="I126" s="137"/>
      <c r="J126" s="104"/>
      <c r="K126" s="137"/>
    </row>
    <row r="127" spans="1:11" ht="18.75">
      <c r="A127" s="137"/>
      <c r="B127" s="138"/>
      <c r="C127" s="139"/>
      <c r="D127" s="139"/>
      <c r="E127" s="137"/>
      <c r="F127" s="139"/>
      <c r="G127" s="107"/>
      <c r="H127" s="137"/>
      <c r="I127" s="137"/>
      <c r="J127" s="104"/>
      <c r="K127" s="137"/>
    </row>
    <row r="128" spans="1:11" ht="18.75">
      <c r="A128" s="137"/>
      <c r="B128" s="138"/>
      <c r="C128" s="139"/>
      <c r="D128" s="139"/>
      <c r="E128" s="137"/>
      <c r="F128" s="139"/>
      <c r="G128" s="107"/>
      <c r="H128" s="137"/>
      <c r="I128" s="137"/>
      <c r="J128" s="104"/>
      <c r="K128" s="137"/>
    </row>
    <row r="129" spans="1:11" ht="18.75">
      <c r="A129" s="137"/>
      <c r="B129" s="138"/>
      <c r="C129" s="139"/>
      <c r="D129" s="139"/>
      <c r="E129" s="137"/>
      <c r="F129" s="139"/>
      <c r="G129" s="107"/>
      <c r="H129" s="137"/>
      <c r="I129" s="137"/>
      <c r="J129" s="104"/>
      <c r="K129" s="137"/>
    </row>
    <row r="130" spans="1:11" ht="18.75">
      <c r="A130" s="137"/>
      <c r="B130" s="138"/>
      <c r="C130" s="139"/>
      <c r="D130" s="139"/>
      <c r="E130" s="137"/>
      <c r="F130" s="139"/>
      <c r="G130" s="107"/>
      <c r="H130" s="137"/>
      <c r="I130" s="137"/>
      <c r="J130" s="104"/>
      <c r="K130" s="137"/>
    </row>
    <row r="131" spans="1:11" ht="18.75">
      <c r="A131" s="137"/>
      <c r="B131" s="138"/>
      <c r="C131" s="139"/>
      <c r="D131" s="139"/>
      <c r="E131" s="137"/>
      <c r="F131" s="139"/>
      <c r="G131" s="107"/>
      <c r="H131" s="137"/>
      <c r="I131" s="137"/>
      <c r="J131" s="104"/>
      <c r="K131" s="137"/>
    </row>
    <row r="132" spans="1:11" ht="18.75">
      <c r="A132" s="137"/>
      <c r="B132" s="138"/>
      <c r="C132" s="139"/>
      <c r="D132" s="139"/>
      <c r="E132" s="137"/>
      <c r="F132" s="139"/>
      <c r="G132" s="107"/>
      <c r="H132" s="137"/>
      <c r="I132" s="137"/>
      <c r="J132" s="104"/>
      <c r="K132" s="137"/>
    </row>
    <row r="133" spans="1:11" ht="18.75">
      <c r="A133" s="137"/>
      <c r="B133" s="138"/>
      <c r="C133" s="139"/>
      <c r="D133" s="139"/>
      <c r="E133" s="137"/>
      <c r="F133" s="139"/>
      <c r="G133" s="107"/>
      <c r="H133" s="137"/>
      <c r="I133" s="137"/>
      <c r="J133" s="104"/>
      <c r="K133" s="137"/>
    </row>
    <row r="134" spans="1:11" ht="18.75">
      <c r="A134" s="137"/>
      <c r="B134" s="138"/>
      <c r="C134" s="139"/>
      <c r="D134" s="139"/>
      <c r="E134" s="137"/>
      <c r="F134" s="139"/>
      <c r="G134" s="107"/>
      <c r="H134" s="137"/>
      <c r="I134" s="137"/>
      <c r="J134" s="104"/>
      <c r="K134" s="137"/>
    </row>
    <row r="135" spans="1:11" ht="18.75">
      <c r="A135" s="137"/>
      <c r="B135" s="138"/>
      <c r="C135" s="139"/>
      <c r="D135" s="139"/>
      <c r="E135" s="137"/>
      <c r="F135" s="139"/>
      <c r="G135" s="107"/>
      <c r="H135" s="137"/>
      <c r="I135" s="137"/>
      <c r="J135" s="104"/>
      <c r="K135" s="137"/>
    </row>
    <row r="136" spans="1:11" ht="18.75">
      <c r="A136" s="137"/>
      <c r="B136" s="138"/>
      <c r="C136" s="139"/>
      <c r="D136" s="139"/>
      <c r="E136" s="137"/>
      <c r="F136" s="139"/>
      <c r="G136" s="107"/>
      <c r="H136" s="137"/>
      <c r="I136" s="137"/>
      <c r="J136" s="104"/>
      <c r="K136" s="137"/>
    </row>
    <row r="137" spans="1:11" ht="18.75">
      <c r="A137" s="137"/>
      <c r="B137" s="138"/>
      <c r="C137" s="139"/>
      <c r="D137" s="139"/>
      <c r="E137" s="137"/>
      <c r="F137" s="139"/>
      <c r="G137" s="107"/>
      <c r="H137" s="137"/>
      <c r="I137" s="137"/>
      <c r="J137" s="104"/>
      <c r="K137" s="137"/>
    </row>
    <row r="138" spans="1:11" ht="18.75">
      <c r="A138" s="137"/>
      <c r="B138" s="138"/>
      <c r="C138" s="139"/>
      <c r="D138" s="139"/>
      <c r="E138" s="137"/>
      <c r="F138" s="139"/>
      <c r="G138" s="107"/>
      <c r="H138" s="137"/>
      <c r="I138" s="137"/>
      <c r="J138" s="104"/>
      <c r="K138" s="137"/>
    </row>
    <row r="139" spans="1:11" ht="18.75">
      <c r="A139" s="137"/>
      <c r="B139" s="138"/>
      <c r="C139" s="139"/>
      <c r="D139" s="139"/>
      <c r="E139" s="137"/>
      <c r="F139" s="139"/>
      <c r="G139" s="107"/>
      <c r="H139" s="137"/>
      <c r="I139" s="137"/>
      <c r="J139" s="104"/>
      <c r="K139" s="137"/>
    </row>
    <row r="140" spans="1:11" ht="18.75">
      <c r="A140" s="137"/>
      <c r="B140" s="138"/>
      <c r="C140" s="139"/>
      <c r="D140" s="139"/>
      <c r="E140" s="137"/>
      <c r="F140" s="139"/>
      <c r="G140" s="107"/>
      <c r="H140" s="137"/>
      <c r="I140" s="137"/>
      <c r="J140" s="104"/>
      <c r="K140" s="137"/>
    </row>
    <row r="141" spans="1:11" ht="18.75">
      <c r="A141" s="137"/>
      <c r="B141" s="138"/>
      <c r="C141" s="139"/>
      <c r="D141" s="139"/>
      <c r="E141" s="137"/>
      <c r="F141" s="139"/>
      <c r="G141" s="107"/>
      <c r="H141" s="137"/>
      <c r="I141" s="137"/>
      <c r="J141" s="104"/>
      <c r="K141" s="137"/>
    </row>
    <row r="142" spans="1:11" ht="18.75">
      <c r="A142" s="137"/>
      <c r="B142" s="138"/>
      <c r="C142" s="139"/>
      <c r="D142" s="139"/>
      <c r="E142" s="137"/>
      <c r="F142" s="139"/>
      <c r="G142" s="107"/>
      <c r="H142" s="137"/>
      <c r="I142" s="137"/>
      <c r="J142" s="104"/>
      <c r="K142" s="137"/>
    </row>
    <row r="143" spans="1:11" ht="18.75">
      <c r="A143" s="137"/>
      <c r="B143" s="138"/>
      <c r="C143" s="139"/>
      <c r="D143" s="139"/>
      <c r="E143" s="137"/>
      <c r="F143" s="139"/>
      <c r="G143" s="107"/>
      <c r="H143" s="137"/>
      <c r="I143" s="137"/>
      <c r="J143" s="104"/>
      <c r="K143" s="137"/>
    </row>
    <row r="144" spans="1:11" ht="18.75">
      <c r="A144" s="137"/>
      <c r="B144" s="138"/>
      <c r="C144" s="139"/>
      <c r="D144" s="139"/>
      <c r="E144" s="137"/>
      <c r="F144" s="139"/>
      <c r="G144" s="107"/>
      <c r="H144" s="137"/>
      <c r="I144" s="137"/>
      <c r="J144" s="104"/>
      <c r="K144" s="137"/>
    </row>
    <row r="145" spans="1:11" ht="18.75">
      <c r="A145" s="137"/>
      <c r="B145" s="138"/>
      <c r="C145" s="139"/>
      <c r="D145" s="139"/>
      <c r="E145" s="137"/>
      <c r="F145" s="139"/>
      <c r="G145" s="107"/>
      <c r="H145" s="137"/>
      <c r="I145" s="137"/>
      <c r="J145" s="104"/>
      <c r="K145" s="137"/>
    </row>
    <row r="146" spans="1:11" ht="18.75">
      <c r="A146" s="137"/>
      <c r="B146" s="138"/>
      <c r="C146" s="139"/>
      <c r="D146" s="139"/>
      <c r="E146" s="137"/>
      <c r="F146" s="139"/>
      <c r="G146" s="107"/>
      <c r="H146" s="137"/>
      <c r="I146" s="137"/>
      <c r="J146" s="104"/>
      <c r="K146" s="137"/>
    </row>
    <row r="147" spans="1:11" ht="18.75">
      <c r="A147" s="137"/>
      <c r="B147" s="138"/>
      <c r="C147" s="139"/>
      <c r="D147" s="139"/>
      <c r="E147" s="137"/>
      <c r="F147" s="139"/>
      <c r="G147" s="107"/>
      <c r="H147" s="137"/>
      <c r="I147" s="137"/>
      <c r="J147" s="104"/>
      <c r="K147" s="137"/>
    </row>
    <row r="148" spans="1:11" ht="18.75">
      <c r="A148" s="137"/>
      <c r="B148" s="138"/>
      <c r="C148" s="139"/>
      <c r="D148" s="139"/>
      <c r="E148" s="137"/>
      <c r="F148" s="139"/>
      <c r="G148" s="107"/>
      <c r="H148" s="137"/>
      <c r="I148" s="137"/>
      <c r="J148" s="104"/>
      <c r="K148" s="137"/>
    </row>
    <row r="149" spans="1:11" ht="18.75">
      <c r="A149" s="137"/>
      <c r="B149" s="138"/>
      <c r="C149" s="139"/>
      <c r="D149" s="139"/>
      <c r="E149" s="137"/>
      <c r="F149" s="139"/>
      <c r="G149" s="107"/>
      <c r="H149" s="137"/>
      <c r="I149" s="137"/>
      <c r="J149" s="104"/>
      <c r="K149" s="137"/>
    </row>
    <row r="150" spans="1:11" ht="18.75">
      <c r="A150" s="137"/>
      <c r="B150" s="138"/>
      <c r="C150" s="139"/>
      <c r="D150" s="139"/>
      <c r="E150" s="137"/>
      <c r="F150" s="139"/>
      <c r="G150" s="107"/>
      <c r="H150" s="137"/>
      <c r="I150" s="137"/>
      <c r="J150" s="104"/>
      <c r="K150" s="137"/>
    </row>
    <row r="151" spans="1:11" ht="18.75">
      <c r="A151" s="137"/>
      <c r="B151" s="138"/>
      <c r="C151" s="139"/>
      <c r="D151" s="139"/>
      <c r="E151" s="137"/>
      <c r="F151" s="139"/>
      <c r="G151" s="107"/>
      <c r="H151" s="137"/>
      <c r="I151" s="137"/>
      <c r="J151" s="104"/>
      <c r="K151" s="137"/>
    </row>
    <row r="152" spans="1:11" ht="18.75">
      <c r="A152" s="137"/>
      <c r="B152" s="138"/>
      <c r="C152" s="139"/>
      <c r="D152" s="139"/>
      <c r="E152" s="137"/>
      <c r="F152" s="139"/>
      <c r="G152" s="107"/>
      <c r="H152" s="137"/>
      <c r="I152" s="137"/>
      <c r="J152" s="104"/>
      <c r="K152" s="137"/>
    </row>
    <row r="153" spans="1:11" ht="18.75">
      <c r="A153" s="137"/>
      <c r="B153" s="138"/>
      <c r="C153" s="139"/>
      <c r="D153" s="139"/>
      <c r="E153" s="137"/>
      <c r="F153" s="139"/>
      <c r="G153" s="107"/>
      <c r="H153" s="137"/>
      <c r="I153" s="137"/>
      <c r="J153" s="104"/>
      <c r="K153" s="137"/>
    </row>
    <row r="154" spans="1:11" ht="18.75">
      <c r="A154" s="137"/>
      <c r="B154" s="138"/>
      <c r="C154" s="139"/>
      <c r="D154" s="139"/>
      <c r="E154" s="137"/>
      <c r="F154" s="139"/>
      <c r="G154" s="107"/>
      <c r="H154" s="137"/>
      <c r="I154" s="137"/>
      <c r="J154" s="104"/>
      <c r="K154" s="137"/>
    </row>
    <row r="155" spans="1:11" ht="18.75">
      <c r="A155" s="137"/>
      <c r="B155" s="138"/>
      <c r="C155" s="139"/>
      <c r="D155" s="139"/>
      <c r="E155" s="137"/>
      <c r="F155" s="139"/>
      <c r="G155" s="107"/>
      <c r="H155" s="137"/>
      <c r="I155" s="137"/>
      <c r="J155" s="104"/>
      <c r="K155" s="137"/>
    </row>
    <row r="156" spans="1:11" ht="18.75">
      <c r="A156" s="137"/>
      <c r="B156" s="138"/>
      <c r="C156" s="139"/>
      <c r="D156" s="139"/>
      <c r="E156" s="137"/>
      <c r="F156" s="139"/>
      <c r="G156" s="107"/>
      <c r="H156" s="137"/>
      <c r="I156" s="137"/>
      <c r="J156" s="104"/>
      <c r="K156" s="137"/>
    </row>
    <row r="157" spans="1:11" ht="18.75">
      <c r="A157" s="137"/>
      <c r="B157" s="138"/>
      <c r="C157" s="139"/>
      <c r="D157" s="139"/>
      <c r="E157" s="137"/>
      <c r="F157" s="139"/>
      <c r="G157" s="107"/>
      <c r="H157" s="137"/>
      <c r="I157" s="137"/>
      <c r="J157" s="104"/>
      <c r="K157" s="137"/>
    </row>
    <row r="158" spans="1:11" ht="18.75">
      <c r="A158" s="137"/>
      <c r="B158" s="138"/>
      <c r="C158" s="139"/>
      <c r="D158" s="139"/>
      <c r="E158" s="137"/>
      <c r="F158" s="139"/>
      <c r="G158" s="107"/>
      <c r="H158" s="137"/>
      <c r="I158" s="137"/>
      <c r="J158" s="104"/>
      <c r="K158" s="137"/>
    </row>
    <row r="159" spans="1:11" ht="18.75">
      <c r="A159" s="137"/>
      <c r="B159" s="138"/>
      <c r="C159" s="139"/>
      <c r="D159" s="139"/>
      <c r="E159" s="137"/>
      <c r="F159" s="139"/>
      <c r="G159" s="107"/>
      <c r="H159" s="137"/>
      <c r="I159" s="137"/>
      <c r="J159" s="104"/>
      <c r="K159" s="137"/>
    </row>
    <row r="160" spans="1:11" ht="18.75">
      <c r="A160" s="137"/>
      <c r="B160" s="138"/>
      <c r="C160" s="139"/>
      <c r="D160" s="139"/>
      <c r="E160" s="137"/>
      <c r="F160" s="139"/>
      <c r="G160" s="107"/>
      <c r="H160" s="137"/>
      <c r="I160" s="137"/>
      <c r="J160" s="104"/>
      <c r="K160" s="137"/>
    </row>
    <row r="161" spans="1:11" ht="18.75">
      <c r="A161" s="137"/>
      <c r="B161" s="138"/>
      <c r="C161" s="139"/>
      <c r="D161" s="139"/>
      <c r="E161" s="137"/>
      <c r="F161" s="139"/>
      <c r="G161" s="107"/>
      <c r="H161" s="137"/>
      <c r="I161" s="137"/>
      <c r="J161" s="104"/>
      <c r="K161" s="137"/>
    </row>
    <row r="162" spans="1:11" ht="18.75">
      <c r="A162" s="137"/>
      <c r="B162" s="138"/>
      <c r="C162" s="139"/>
      <c r="D162" s="139"/>
      <c r="E162" s="137"/>
      <c r="F162" s="139"/>
      <c r="G162" s="107"/>
      <c r="H162" s="137"/>
      <c r="I162" s="137"/>
      <c r="J162" s="104"/>
      <c r="K162" s="137"/>
    </row>
    <row r="163" spans="1:11" ht="18.75">
      <c r="A163" s="137"/>
      <c r="B163" s="138"/>
      <c r="C163" s="139"/>
      <c r="D163" s="139"/>
      <c r="E163" s="137"/>
      <c r="F163" s="139"/>
      <c r="G163" s="107"/>
      <c r="H163" s="137"/>
      <c r="I163" s="137"/>
      <c r="J163" s="104"/>
      <c r="K163" s="137"/>
    </row>
    <row r="164" spans="1:11" ht="18.75">
      <c r="A164" s="137"/>
      <c r="B164" s="138"/>
      <c r="C164" s="139"/>
      <c r="D164" s="139"/>
      <c r="E164" s="137"/>
      <c r="F164" s="139"/>
      <c r="G164" s="107"/>
      <c r="H164" s="137"/>
      <c r="I164" s="137"/>
      <c r="J164" s="104"/>
      <c r="K164" s="137"/>
    </row>
    <row r="165" spans="1:11" ht="18.75">
      <c r="A165" s="137"/>
      <c r="B165" s="138"/>
      <c r="C165" s="139"/>
      <c r="D165" s="139"/>
      <c r="E165" s="137"/>
      <c r="F165" s="139"/>
      <c r="G165" s="107"/>
      <c r="H165" s="137"/>
      <c r="I165" s="137"/>
      <c r="J165" s="104"/>
      <c r="K165" s="137"/>
    </row>
    <row r="166" spans="1:11" ht="18.75">
      <c r="A166" s="137"/>
      <c r="B166" s="138"/>
      <c r="C166" s="139"/>
      <c r="D166" s="139"/>
      <c r="E166" s="137"/>
      <c r="F166" s="139"/>
      <c r="G166" s="107"/>
      <c r="H166" s="137"/>
      <c r="I166" s="137"/>
      <c r="J166" s="104"/>
      <c r="K166" s="137"/>
    </row>
    <row r="167" spans="1:11" ht="18.75">
      <c r="A167" s="137"/>
      <c r="B167" s="138"/>
      <c r="C167" s="139"/>
      <c r="D167" s="139"/>
      <c r="E167" s="137"/>
      <c r="F167" s="139"/>
      <c r="G167" s="107"/>
      <c r="H167" s="137"/>
      <c r="I167" s="137"/>
      <c r="J167" s="104"/>
      <c r="K167" s="137"/>
    </row>
    <row r="168" spans="1:11" ht="18.75">
      <c r="A168" s="137"/>
      <c r="B168" s="138"/>
      <c r="C168" s="139"/>
      <c r="D168" s="139"/>
      <c r="E168" s="137"/>
      <c r="F168" s="139"/>
      <c r="G168" s="107"/>
      <c r="H168" s="137"/>
      <c r="I168" s="137"/>
      <c r="J168" s="104"/>
      <c r="K168" s="137"/>
    </row>
    <row r="169" spans="1:11" ht="18.75">
      <c r="A169" s="137"/>
      <c r="B169" s="138"/>
      <c r="C169" s="139"/>
      <c r="D169" s="139"/>
      <c r="E169" s="137"/>
      <c r="F169" s="139"/>
      <c r="G169" s="107"/>
      <c r="H169" s="137"/>
      <c r="I169" s="137"/>
      <c r="J169" s="104"/>
      <c r="K169" s="137"/>
    </row>
    <row r="170" spans="1:11" ht="18.75">
      <c r="A170" s="137"/>
      <c r="B170" s="138"/>
      <c r="C170" s="139"/>
      <c r="D170" s="139"/>
      <c r="E170" s="137"/>
      <c r="F170" s="139"/>
      <c r="G170" s="107"/>
      <c r="H170" s="137"/>
      <c r="I170" s="137"/>
      <c r="J170" s="104"/>
      <c r="K170" s="137"/>
    </row>
    <row r="171" spans="1:11" ht="18.75">
      <c r="A171" s="137"/>
      <c r="B171" s="138"/>
      <c r="C171" s="139"/>
      <c r="D171" s="139"/>
      <c r="E171" s="137"/>
      <c r="F171" s="139"/>
      <c r="G171" s="107"/>
      <c r="H171" s="137"/>
      <c r="I171" s="137"/>
      <c r="J171" s="104"/>
      <c r="K171" s="137"/>
    </row>
    <row r="172" spans="1:11" ht="18.75">
      <c r="A172" s="137"/>
      <c r="B172" s="138"/>
      <c r="C172" s="139"/>
      <c r="D172" s="139"/>
      <c r="E172" s="137"/>
      <c r="F172" s="139"/>
      <c r="G172" s="107"/>
      <c r="H172" s="137"/>
      <c r="I172" s="137"/>
      <c r="J172" s="104"/>
      <c r="K172" s="137"/>
    </row>
    <row r="173" spans="1:11" ht="18.75">
      <c r="A173" s="137"/>
      <c r="B173" s="138"/>
      <c r="C173" s="139"/>
      <c r="D173" s="139"/>
      <c r="E173" s="137"/>
      <c r="F173" s="139"/>
      <c r="G173" s="107"/>
      <c r="H173" s="137"/>
      <c r="I173" s="137"/>
      <c r="J173" s="104"/>
      <c r="K173" s="137"/>
    </row>
    <row r="174" spans="1:11" ht="18.75">
      <c r="A174" s="137"/>
      <c r="B174" s="138"/>
      <c r="C174" s="139"/>
      <c r="D174" s="139"/>
      <c r="E174" s="137"/>
      <c r="F174" s="139"/>
      <c r="G174" s="107"/>
      <c r="H174" s="137"/>
      <c r="I174" s="137"/>
      <c r="J174" s="104"/>
      <c r="K174" s="137"/>
    </row>
    <row r="175" spans="1:11" ht="18.75">
      <c r="A175" s="137"/>
      <c r="B175" s="138"/>
      <c r="C175" s="139"/>
      <c r="D175" s="139"/>
      <c r="E175" s="137"/>
      <c r="F175" s="139"/>
      <c r="G175" s="107"/>
      <c r="H175" s="137"/>
      <c r="I175" s="137"/>
      <c r="J175" s="104"/>
      <c r="K175" s="137"/>
    </row>
    <row r="176" spans="1:11" ht="18.75">
      <c r="A176" s="137"/>
      <c r="B176" s="138"/>
      <c r="C176" s="139"/>
      <c r="D176" s="139"/>
      <c r="E176" s="137"/>
      <c r="F176" s="139"/>
      <c r="G176" s="107"/>
      <c r="H176" s="137"/>
      <c r="I176" s="137"/>
      <c r="J176" s="104"/>
      <c r="K176" s="137"/>
    </row>
    <row r="177" spans="1:11" ht="18.75">
      <c r="A177" s="137"/>
      <c r="B177" s="138"/>
      <c r="C177" s="139"/>
      <c r="D177" s="139"/>
      <c r="E177" s="137"/>
      <c r="F177" s="139"/>
      <c r="G177" s="107"/>
      <c r="H177" s="137"/>
      <c r="I177" s="137"/>
      <c r="J177" s="104"/>
      <c r="K177" s="137"/>
    </row>
    <row r="178" spans="1:11" ht="18.75">
      <c r="A178" s="137"/>
      <c r="B178" s="138"/>
      <c r="C178" s="139"/>
      <c r="D178" s="139"/>
      <c r="E178" s="137"/>
      <c r="F178" s="139"/>
      <c r="G178" s="107"/>
      <c r="H178" s="137"/>
      <c r="I178" s="137"/>
      <c r="J178" s="104"/>
      <c r="K178" s="137"/>
    </row>
    <row r="179" spans="1:11" ht="18.75">
      <c r="A179" s="137"/>
      <c r="B179" s="138"/>
      <c r="C179" s="139"/>
      <c r="D179" s="139"/>
      <c r="E179" s="137"/>
      <c r="F179" s="139"/>
      <c r="G179" s="107"/>
      <c r="H179" s="137"/>
      <c r="I179" s="137"/>
      <c r="J179" s="104"/>
      <c r="K179" s="137"/>
    </row>
    <row r="180" spans="1:11" ht="18.75">
      <c r="A180" s="137"/>
      <c r="B180" s="138"/>
      <c r="C180" s="139"/>
      <c r="D180" s="139"/>
      <c r="E180" s="137"/>
      <c r="F180" s="139"/>
      <c r="G180" s="107"/>
      <c r="H180" s="137"/>
      <c r="I180" s="137"/>
      <c r="J180" s="104"/>
      <c r="K180" s="137"/>
    </row>
    <row r="181" spans="1:11" ht="18.75">
      <c r="A181" s="137"/>
      <c r="B181" s="138"/>
      <c r="C181" s="139"/>
      <c r="D181" s="139"/>
      <c r="E181" s="137"/>
      <c r="F181" s="139"/>
      <c r="G181" s="107"/>
      <c r="H181" s="137"/>
      <c r="I181" s="137"/>
      <c r="J181" s="104"/>
      <c r="K181" s="137"/>
    </row>
    <row r="182" spans="1:11" ht="18.75">
      <c r="A182" s="137"/>
      <c r="B182" s="138"/>
      <c r="C182" s="139"/>
      <c r="D182" s="139"/>
      <c r="E182" s="137"/>
      <c r="F182" s="139"/>
      <c r="G182" s="107"/>
      <c r="H182" s="137"/>
      <c r="I182" s="137"/>
      <c r="J182" s="104"/>
      <c r="K182" s="137"/>
    </row>
    <row r="183" spans="1:11" ht="18.75">
      <c r="A183" s="137"/>
      <c r="B183" s="138"/>
      <c r="C183" s="139"/>
      <c r="D183" s="139"/>
      <c r="E183" s="137"/>
      <c r="F183" s="139"/>
      <c r="G183" s="107"/>
      <c r="H183" s="137"/>
      <c r="I183" s="137"/>
      <c r="J183" s="104"/>
      <c r="K183" s="137"/>
    </row>
    <row r="184" spans="1:11" ht="18.75">
      <c r="A184" s="137"/>
      <c r="B184" s="138"/>
      <c r="C184" s="139"/>
      <c r="D184" s="139"/>
      <c r="E184" s="137"/>
      <c r="F184" s="139"/>
      <c r="G184" s="107"/>
      <c r="H184" s="137"/>
      <c r="I184" s="137"/>
      <c r="J184" s="104"/>
      <c r="K184" s="137"/>
    </row>
    <row r="185" spans="1:11" ht="18.75">
      <c r="A185" s="137"/>
      <c r="B185" s="138"/>
      <c r="C185" s="139"/>
      <c r="D185" s="139"/>
      <c r="E185" s="137"/>
      <c r="F185" s="139"/>
      <c r="G185" s="107"/>
      <c r="H185" s="137"/>
      <c r="I185" s="137"/>
      <c r="J185" s="104"/>
      <c r="K185" s="137"/>
    </row>
    <row r="186" spans="1:11" ht="18.75">
      <c r="A186" s="137"/>
      <c r="B186" s="138"/>
      <c r="C186" s="139"/>
      <c r="D186" s="139"/>
      <c r="E186" s="137"/>
      <c r="F186" s="139"/>
      <c r="G186" s="107"/>
      <c r="H186" s="137"/>
      <c r="I186" s="137"/>
      <c r="J186" s="104"/>
      <c r="K186" s="137"/>
    </row>
    <row r="187" spans="1:11" ht="18.75">
      <c r="A187" s="137"/>
      <c r="B187" s="138"/>
      <c r="C187" s="139"/>
      <c r="D187" s="139"/>
      <c r="E187" s="137"/>
      <c r="F187" s="139"/>
      <c r="G187" s="107"/>
      <c r="H187" s="137"/>
      <c r="I187" s="137"/>
      <c r="J187" s="104"/>
      <c r="K187" s="137"/>
    </row>
    <row r="188" spans="1:11" ht="18.75">
      <c r="A188" s="137"/>
      <c r="B188" s="138"/>
      <c r="C188" s="139"/>
      <c r="D188" s="139"/>
      <c r="E188" s="137"/>
      <c r="F188" s="139"/>
      <c r="G188" s="107"/>
      <c r="H188" s="137"/>
      <c r="I188" s="137"/>
      <c r="J188" s="104"/>
      <c r="K188" s="137"/>
    </row>
    <row r="189" spans="1:11" ht="18.75">
      <c r="A189" s="137"/>
      <c r="B189" s="138"/>
      <c r="C189" s="139"/>
      <c r="D189" s="139"/>
      <c r="E189" s="137"/>
      <c r="F189" s="139"/>
      <c r="G189" s="107"/>
      <c r="H189" s="137"/>
      <c r="I189" s="137"/>
      <c r="J189" s="104"/>
      <c r="K189" s="137"/>
    </row>
    <row r="190" spans="1:11" ht="18.75">
      <c r="A190" s="137"/>
      <c r="B190" s="138"/>
      <c r="C190" s="139"/>
      <c r="D190" s="139"/>
      <c r="E190" s="137"/>
      <c r="F190" s="139"/>
      <c r="G190" s="107"/>
      <c r="H190" s="137"/>
      <c r="I190" s="137"/>
      <c r="J190" s="104"/>
      <c r="K190" s="137"/>
    </row>
    <row r="191" spans="1:11" ht="18.75">
      <c r="A191" s="137"/>
      <c r="B191" s="138"/>
      <c r="C191" s="139"/>
      <c r="D191" s="139"/>
      <c r="E191" s="137"/>
      <c r="F191" s="139"/>
      <c r="G191" s="107"/>
      <c r="H191" s="137"/>
      <c r="I191" s="137"/>
      <c r="J191" s="104"/>
      <c r="K191" s="137"/>
    </row>
    <row r="192" spans="1:11" ht="18.75">
      <c r="A192" s="137"/>
      <c r="B192" s="138"/>
      <c r="C192" s="139"/>
      <c r="D192" s="139"/>
      <c r="E192" s="137"/>
      <c r="F192" s="139"/>
      <c r="G192" s="107"/>
      <c r="H192" s="137"/>
      <c r="I192" s="137"/>
      <c r="J192" s="104"/>
      <c r="K192" s="137"/>
    </row>
    <row r="193" spans="1:11" ht="18.75">
      <c r="A193" s="137"/>
      <c r="B193" s="138"/>
      <c r="C193" s="139"/>
      <c r="D193" s="139"/>
      <c r="E193" s="137"/>
      <c r="F193" s="139"/>
      <c r="G193" s="107"/>
      <c r="H193" s="137"/>
      <c r="I193" s="137"/>
      <c r="J193" s="104"/>
      <c r="K193" s="137"/>
    </row>
    <row r="194" spans="1:11" ht="18.75">
      <c r="A194" s="137"/>
      <c r="B194" s="138"/>
      <c r="C194" s="139"/>
      <c r="D194" s="139"/>
      <c r="E194" s="137"/>
      <c r="F194" s="139"/>
      <c r="G194" s="107"/>
      <c r="H194" s="137"/>
      <c r="I194" s="137"/>
      <c r="J194" s="104"/>
      <c r="K194" s="137"/>
    </row>
    <row r="195" spans="1:11" ht="18.75">
      <c r="A195" s="137"/>
      <c r="B195" s="138"/>
      <c r="C195" s="139"/>
      <c r="D195" s="139"/>
      <c r="E195" s="137"/>
      <c r="F195" s="139"/>
      <c r="G195" s="107"/>
      <c r="H195" s="137"/>
      <c r="I195" s="137"/>
      <c r="J195" s="104"/>
      <c r="K195" s="137"/>
    </row>
    <row r="196" spans="1:11" ht="18.75">
      <c r="A196" s="137"/>
      <c r="B196" s="138"/>
      <c r="C196" s="139"/>
      <c r="D196" s="139"/>
      <c r="E196" s="137"/>
      <c r="F196" s="139"/>
      <c r="G196" s="107"/>
      <c r="H196" s="137"/>
      <c r="I196" s="137"/>
      <c r="J196" s="104"/>
      <c r="K196" s="137"/>
    </row>
    <row r="197" spans="1:11" ht="18.75">
      <c r="A197" s="137"/>
      <c r="B197" s="138"/>
      <c r="C197" s="139"/>
      <c r="D197" s="139"/>
      <c r="E197" s="137"/>
      <c r="F197" s="139"/>
      <c r="G197" s="107"/>
      <c r="H197" s="137"/>
      <c r="I197" s="137"/>
      <c r="J197" s="104"/>
      <c r="K197" s="137"/>
    </row>
    <row r="198" spans="1:11" ht="18.75">
      <c r="A198" s="137"/>
      <c r="B198" s="138"/>
      <c r="C198" s="139"/>
      <c r="D198" s="139"/>
      <c r="E198" s="137"/>
      <c r="F198" s="139"/>
      <c r="G198" s="107"/>
      <c r="H198" s="137"/>
      <c r="I198" s="137"/>
      <c r="J198" s="104"/>
      <c r="K198" s="137"/>
    </row>
    <row r="199" spans="1:11" ht="18.75">
      <c r="A199" s="137"/>
      <c r="B199" s="138"/>
      <c r="C199" s="139"/>
      <c r="D199" s="139"/>
      <c r="E199" s="137"/>
      <c r="F199" s="139"/>
      <c r="G199" s="107"/>
      <c r="H199" s="137"/>
      <c r="I199" s="137"/>
      <c r="J199" s="104"/>
      <c r="K199" s="137"/>
    </row>
    <row r="200" spans="1:11" ht="18.75">
      <c r="A200" s="137"/>
      <c r="B200" s="138"/>
      <c r="C200" s="139"/>
      <c r="D200" s="139"/>
      <c r="E200" s="137"/>
      <c r="F200" s="139"/>
      <c r="G200" s="107"/>
      <c r="H200" s="137"/>
      <c r="I200" s="137"/>
      <c r="J200" s="104"/>
      <c r="K200" s="137"/>
    </row>
    <row r="201" spans="1:11" ht="18.75">
      <c r="A201" s="137"/>
      <c r="B201" s="138"/>
      <c r="C201" s="139"/>
      <c r="D201" s="139"/>
      <c r="E201" s="137"/>
      <c r="F201" s="139"/>
      <c r="G201" s="107"/>
      <c r="H201" s="137"/>
      <c r="I201" s="137"/>
      <c r="J201" s="104"/>
      <c r="K201" s="137"/>
    </row>
    <row r="202" spans="1:11" ht="18.75">
      <c r="A202" s="137"/>
      <c r="B202" s="138"/>
      <c r="C202" s="139"/>
      <c r="D202" s="139"/>
      <c r="E202" s="137"/>
      <c r="F202" s="139"/>
      <c r="G202" s="107"/>
      <c r="H202" s="137"/>
      <c r="I202" s="137"/>
      <c r="J202" s="104"/>
      <c r="K202" s="137"/>
    </row>
    <row r="203" spans="1:11" ht="18.75">
      <c r="A203" s="137"/>
      <c r="B203" s="138"/>
      <c r="C203" s="139"/>
      <c r="D203" s="139"/>
      <c r="E203" s="137"/>
      <c r="F203" s="139"/>
      <c r="G203" s="107"/>
      <c r="H203" s="137"/>
      <c r="I203" s="137"/>
      <c r="J203" s="104"/>
      <c r="K203" s="137"/>
    </row>
    <row r="204" spans="1:11" ht="18.75">
      <c r="A204" s="137"/>
      <c r="B204" s="138"/>
      <c r="C204" s="139"/>
      <c r="D204" s="139"/>
      <c r="E204" s="137"/>
      <c r="F204" s="139"/>
      <c r="G204" s="107"/>
      <c r="H204" s="137"/>
      <c r="I204" s="137"/>
      <c r="J204" s="104"/>
      <c r="K204" s="137"/>
    </row>
    <row r="205" spans="1:11" ht="18.75">
      <c r="A205" s="137"/>
      <c r="B205" s="138"/>
      <c r="C205" s="139"/>
      <c r="D205" s="139"/>
      <c r="E205" s="137"/>
      <c r="F205" s="139"/>
      <c r="G205" s="107"/>
      <c r="H205" s="137"/>
      <c r="I205" s="137"/>
      <c r="J205" s="104"/>
      <c r="K205" s="137"/>
    </row>
    <row r="206" spans="1:11" ht="18.75">
      <c r="A206" s="137"/>
      <c r="B206" s="138"/>
      <c r="C206" s="139"/>
      <c r="D206" s="139"/>
      <c r="E206" s="137"/>
      <c r="F206" s="139"/>
      <c r="G206" s="107"/>
      <c r="H206" s="137"/>
      <c r="I206" s="137"/>
      <c r="J206" s="104"/>
      <c r="K206" s="137"/>
    </row>
    <row r="207" spans="1:11" ht="18.75">
      <c r="A207" s="137"/>
      <c r="B207" s="138"/>
      <c r="C207" s="139"/>
      <c r="D207" s="139"/>
      <c r="E207" s="137"/>
      <c r="F207" s="139"/>
      <c r="G207" s="107"/>
      <c r="H207" s="137"/>
      <c r="I207" s="137"/>
      <c r="J207" s="104"/>
      <c r="K207" s="137"/>
    </row>
    <row r="208" spans="1:11" ht="18.75">
      <c r="A208" s="137"/>
      <c r="B208" s="138"/>
      <c r="C208" s="139"/>
      <c r="D208" s="139"/>
      <c r="E208" s="137"/>
      <c r="F208" s="139"/>
      <c r="G208" s="107"/>
      <c r="H208" s="137"/>
      <c r="I208" s="137"/>
      <c r="J208" s="104"/>
      <c r="K208" s="137"/>
    </row>
    <row r="209" spans="1:11" ht="18.75">
      <c r="A209" s="137"/>
      <c r="B209" s="138"/>
      <c r="C209" s="139"/>
      <c r="D209" s="139"/>
      <c r="E209" s="137"/>
      <c r="F209" s="139"/>
      <c r="G209" s="107"/>
      <c r="H209" s="137"/>
      <c r="I209" s="137"/>
      <c r="J209" s="104"/>
      <c r="K209" s="137"/>
    </row>
    <row r="210" spans="1:11" ht="18.75">
      <c r="A210" s="137"/>
      <c r="B210" s="138"/>
      <c r="C210" s="139"/>
      <c r="D210" s="139"/>
      <c r="E210" s="137"/>
      <c r="F210" s="139"/>
      <c r="G210" s="107"/>
      <c r="H210" s="137"/>
      <c r="I210" s="137"/>
      <c r="J210" s="104"/>
      <c r="K210" s="137"/>
    </row>
    <row r="211" spans="1:11" ht="18.75">
      <c r="A211" s="137"/>
      <c r="B211" s="138"/>
      <c r="C211" s="139"/>
      <c r="D211" s="139"/>
      <c r="E211" s="137"/>
      <c r="F211" s="139"/>
      <c r="G211" s="107"/>
      <c r="H211" s="137"/>
      <c r="I211" s="137"/>
      <c r="J211" s="104"/>
      <c r="K211" s="137"/>
    </row>
    <row r="212" spans="1:11" ht="18.75">
      <c r="A212" s="137"/>
      <c r="B212" s="138"/>
      <c r="C212" s="139"/>
      <c r="D212" s="139"/>
      <c r="E212" s="137"/>
      <c r="F212" s="139"/>
      <c r="G212" s="107"/>
      <c r="H212" s="137"/>
      <c r="I212" s="137"/>
      <c r="J212" s="104"/>
      <c r="K212" s="137"/>
    </row>
    <row r="213" spans="1:11" ht="18.75">
      <c r="A213" s="137"/>
      <c r="B213" s="138"/>
      <c r="C213" s="139"/>
      <c r="D213" s="139"/>
      <c r="E213" s="137"/>
      <c r="F213" s="139"/>
      <c r="G213" s="107"/>
      <c r="H213" s="137"/>
      <c r="I213" s="137"/>
      <c r="J213" s="104"/>
      <c r="K213" s="137"/>
    </row>
    <row r="214" spans="1:11" ht="18.75">
      <c r="A214" s="137"/>
      <c r="B214" s="138"/>
      <c r="C214" s="139"/>
      <c r="D214" s="139"/>
      <c r="E214" s="137"/>
      <c r="F214" s="139"/>
      <c r="G214" s="107"/>
      <c r="H214" s="137"/>
      <c r="I214" s="137"/>
      <c r="J214" s="104"/>
      <c r="K214" s="137"/>
    </row>
    <row r="215" spans="1:11" ht="18.75">
      <c r="A215" s="137"/>
      <c r="B215" s="138"/>
      <c r="C215" s="139"/>
      <c r="D215" s="139"/>
      <c r="E215" s="137"/>
      <c r="F215" s="139"/>
      <c r="G215" s="107"/>
      <c r="H215" s="137"/>
      <c r="I215" s="137"/>
      <c r="J215" s="104"/>
      <c r="K215" s="137"/>
    </row>
    <row r="216" spans="1:11" ht="18.75">
      <c r="A216" s="137"/>
      <c r="B216" s="138"/>
      <c r="C216" s="139"/>
      <c r="D216" s="139"/>
      <c r="E216" s="137"/>
      <c r="F216" s="139"/>
      <c r="G216" s="107"/>
      <c r="H216" s="137"/>
      <c r="I216" s="137"/>
      <c r="J216" s="104"/>
      <c r="K216" s="137"/>
    </row>
    <row r="217" spans="1:11" ht="18.75">
      <c r="A217" s="137"/>
      <c r="B217" s="138"/>
      <c r="C217" s="139"/>
      <c r="D217" s="139"/>
      <c r="E217" s="137"/>
      <c r="F217" s="139"/>
      <c r="G217" s="107"/>
      <c r="H217" s="137"/>
      <c r="I217" s="137"/>
      <c r="J217" s="104"/>
      <c r="K217" s="137"/>
    </row>
    <row r="218" spans="1:11" ht="18.75">
      <c r="A218" s="137"/>
      <c r="B218" s="138"/>
      <c r="C218" s="139"/>
      <c r="D218" s="139"/>
      <c r="E218" s="137"/>
      <c r="F218" s="139"/>
      <c r="G218" s="107"/>
      <c r="H218" s="137"/>
      <c r="I218" s="137"/>
      <c r="J218" s="104"/>
      <c r="K218" s="137"/>
    </row>
    <row r="219" spans="1:11" ht="18.75">
      <c r="A219" s="137"/>
      <c r="B219" s="138"/>
      <c r="C219" s="139"/>
      <c r="D219" s="139"/>
      <c r="E219" s="137"/>
      <c r="F219" s="139"/>
      <c r="G219" s="107"/>
      <c r="H219" s="137"/>
      <c r="I219" s="137"/>
      <c r="J219" s="104"/>
      <c r="K219" s="137"/>
    </row>
    <row r="220" spans="1:11" ht="18.75">
      <c r="A220" s="137"/>
      <c r="B220" s="138"/>
      <c r="C220" s="139"/>
      <c r="D220" s="139"/>
      <c r="E220" s="137"/>
      <c r="F220" s="139"/>
      <c r="G220" s="107"/>
      <c r="H220" s="137"/>
      <c r="I220" s="137"/>
      <c r="J220" s="104"/>
      <c r="K220" s="137"/>
    </row>
    <row r="221" spans="1:11" ht="18.75">
      <c r="A221" s="137"/>
      <c r="B221" s="138"/>
      <c r="C221" s="139"/>
      <c r="D221" s="139"/>
      <c r="E221" s="137"/>
      <c r="F221" s="139"/>
      <c r="G221" s="107"/>
      <c r="H221" s="137"/>
      <c r="I221" s="137"/>
      <c r="J221" s="104"/>
      <c r="K221" s="137"/>
    </row>
    <row r="222" spans="1:11" ht="18.75">
      <c r="A222" s="137"/>
      <c r="B222" s="138"/>
      <c r="C222" s="139"/>
      <c r="D222" s="139"/>
      <c r="E222" s="137"/>
      <c r="F222" s="139"/>
      <c r="G222" s="107"/>
      <c r="H222" s="137"/>
      <c r="I222" s="137"/>
      <c r="J222" s="104"/>
      <c r="K222" s="137"/>
    </row>
    <row r="223" spans="1:11" ht="18.75">
      <c r="A223" s="137"/>
      <c r="B223" s="138"/>
      <c r="C223" s="139"/>
      <c r="D223" s="139"/>
      <c r="E223" s="137"/>
      <c r="F223" s="139"/>
      <c r="G223" s="107"/>
      <c r="H223" s="137"/>
      <c r="I223" s="137"/>
      <c r="J223" s="104"/>
      <c r="K223" s="137"/>
    </row>
    <row r="224" spans="1:11" ht="18.75">
      <c r="A224" s="137"/>
      <c r="B224" s="138"/>
      <c r="C224" s="139"/>
      <c r="D224" s="139"/>
      <c r="E224" s="137"/>
      <c r="F224" s="139"/>
      <c r="G224" s="107"/>
      <c r="H224" s="137"/>
      <c r="I224" s="137"/>
      <c r="J224" s="104"/>
      <c r="K224" s="137"/>
    </row>
    <row r="225" spans="1:11" ht="18.75">
      <c r="A225" s="137"/>
      <c r="B225" s="138"/>
      <c r="C225" s="139"/>
      <c r="D225" s="139"/>
      <c r="E225" s="137"/>
      <c r="F225" s="139"/>
      <c r="G225" s="107"/>
      <c r="H225" s="137"/>
      <c r="I225" s="137"/>
      <c r="J225" s="104"/>
      <c r="K225" s="137"/>
    </row>
    <row r="226" spans="1:11" ht="18.75">
      <c r="A226" s="137"/>
      <c r="B226" s="138"/>
      <c r="C226" s="139"/>
      <c r="D226" s="139"/>
      <c r="E226" s="137"/>
      <c r="F226" s="139"/>
      <c r="G226" s="107"/>
      <c r="H226" s="137"/>
      <c r="I226" s="137"/>
      <c r="J226" s="104"/>
      <c r="K226" s="137"/>
    </row>
    <row r="227" spans="1:11" ht="18.75">
      <c r="A227" s="137"/>
      <c r="B227" s="138"/>
      <c r="C227" s="139"/>
      <c r="D227" s="139"/>
      <c r="E227" s="137"/>
      <c r="F227" s="139"/>
      <c r="G227" s="107"/>
      <c r="H227" s="137"/>
      <c r="I227" s="137"/>
      <c r="J227" s="104"/>
      <c r="K227" s="137"/>
    </row>
    <row r="228" spans="1:11" ht="18.75">
      <c r="A228" s="137"/>
      <c r="B228" s="138"/>
      <c r="C228" s="139"/>
      <c r="D228" s="139"/>
      <c r="E228" s="137"/>
      <c r="F228" s="139"/>
      <c r="G228" s="107"/>
      <c r="H228" s="137"/>
      <c r="I228" s="137"/>
      <c r="J228" s="104"/>
      <c r="K228" s="137"/>
    </row>
    <row r="229" spans="1:11" ht="18.75">
      <c r="A229" s="137"/>
      <c r="B229" s="138"/>
      <c r="C229" s="139"/>
      <c r="D229" s="139"/>
      <c r="E229" s="137"/>
      <c r="F229" s="139"/>
      <c r="G229" s="107"/>
      <c r="H229" s="137"/>
      <c r="I229" s="137"/>
      <c r="J229" s="104"/>
      <c r="K229" s="137"/>
    </row>
    <row r="230" spans="1:11" ht="18.75">
      <c r="A230" s="137"/>
      <c r="B230" s="138"/>
      <c r="C230" s="139"/>
      <c r="D230" s="139"/>
      <c r="E230" s="137"/>
      <c r="F230" s="139"/>
      <c r="G230" s="107"/>
      <c r="H230" s="137"/>
      <c r="I230" s="137"/>
      <c r="J230" s="104"/>
      <c r="K230" s="137"/>
    </row>
    <row r="231" spans="1:11" ht="18.75">
      <c r="A231" s="137"/>
      <c r="B231" s="138"/>
      <c r="C231" s="139"/>
      <c r="D231" s="139"/>
      <c r="E231" s="137"/>
      <c r="F231" s="139"/>
      <c r="G231" s="107"/>
      <c r="H231" s="137"/>
      <c r="I231" s="137"/>
      <c r="J231" s="104"/>
      <c r="K231" s="137"/>
    </row>
    <row r="232" spans="1:11" ht="18.75">
      <c r="A232" s="137"/>
      <c r="B232" s="138"/>
      <c r="C232" s="139"/>
      <c r="D232" s="139"/>
      <c r="E232" s="137"/>
      <c r="F232" s="139"/>
      <c r="G232" s="107"/>
      <c r="H232" s="137"/>
      <c r="I232" s="137"/>
      <c r="J232" s="104"/>
      <c r="K232" s="137"/>
    </row>
    <row r="233" spans="1:11" ht="18.75">
      <c r="A233" s="137"/>
      <c r="B233" s="138"/>
      <c r="C233" s="139"/>
      <c r="D233" s="139"/>
      <c r="E233" s="137"/>
      <c r="F233" s="139"/>
      <c r="G233" s="107"/>
      <c r="H233" s="137"/>
      <c r="I233" s="137"/>
      <c r="J233" s="104"/>
      <c r="K233" s="137"/>
    </row>
    <row r="234" spans="1:11" ht="18.75">
      <c r="A234" s="137"/>
      <c r="B234" s="138"/>
      <c r="C234" s="139"/>
      <c r="D234" s="139"/>
      <c r="E234" s="137"/>
      <c r="F234" s="139"/>
      <c r="G234" s="107"/>
      <c r="H234" s="137"/>
      <c r="I234" s="137"/>
      <c r="J234" s="104"/>
      <c r="K234" s="137"/>
    </row>
    <row r="235" spans="1:11" ht="18.75">
      <c r="A235" s="137"/>
      <c r="B235" s="138"/>
      <c r="C235" s="139"/>
      <c r="D235" s="139"/>
      <c r="E235" s="137"/>
      <c r="F235" s="139"/>
      <c r="G235" s="107"/>
      <c r="H235" s="137"/>
      <c r="I235" s="137"/>
      <c r="J235" s="104"/>
      <c r="K235" s="137"/>
    </row>
    <row r="236" spans="1:11" ht="18.75">
      <c r="A236" s="137"/>
      <c r="B236" s="138"/>
      <c r="C236" s="139"/>
      <c r="D236" s="139"/>
      <c r="E236" s="137"/>
      <c r="F236" s="139"/>
      <c r="G236" s="107"/>
      <c r="H236" s="137"/>
      <c r="I236" s="137"/>
      <c r="J236" s="104"/>
      <c r="K236" s="137"/>
    </row>
    <row r="237" spans="1:11" ht="18.75">
      <c r="A237" s="137"/>
      <c r="B237" s="138"/>
      <c r="C237" s="139"/>
      <c r="D237" s="139"/>
      <c r="E237" s="137"/>
      <c r="F237" s="139"/>
      <c r="G237" s="107"/>
      <c r="H237" s="137"/>
      <c r="I237" s="137"/>
      <c r="J237" s="104"/>
      <c r="K237" s="137"/>
    </row>
    <row r="238" spans="1:11" ht="18.75">
      <c r="A238" s="137"/>
      <c r="B238" s="138"/>
      <c r="C238" s="139"/>
      <c r="D238" s="139"/>
      <c r="E238" s="137"/>
      <c r="F238" s="139"/>
      <c r="G238" s="107"/>
      <c r="H238" s="137"/>
      <c r="I238" s="137"/>
      <c r="J238" s="104"/>
      <c r="K238" s="137"/>
    </row>
    <row r="239" spans="1:11" ht="18.75">
      <c r="A239" s="137"/>
      <c r="B239" s="138"/>
      <c r="C239" s="139"/>
      <c r="D239" s="139"/>
      <c r="E239" s="137"/>
      <c r="F239" s="139"/>
      <c r="G239" s="107"/>
      <c r="H239" s="137"/>
      <c r="I239" s="137"/>
      <c r="J239" s="104"/>
      <c r="K239" s="137"/>
    </row>
    <row r="240" spans="1:11" ht="18.75">
      <c r="A240" s="137"/>
      <c r="B240" s="138"/>
      <c r="C240" s="139"/>
      <c r="D240" s="139"/>
      <c r="E240" s="137"/>
      <c r="F240" s="139"/>
      <c r="G240" s="107"/>
      <c r="H240" s="137"/>
      <c r="I240" s="137"/>
      <c r="J240" s="104"/>
      <c r="K240" s="137"/>
    </row>
    <row r="241" spans="1:11" ht="18.75">
      <c r="A241" s="137"/>
      <c r="B241" s="138"/>
      <c r="C241" s="139"/>
      <c r="D241" s="139"/>
      <c r="E241" s="137"/>
      <c r="F241" s="139"/>
      <c r="G241" s="107"/>
      <c r="H241" s="137"/>
      <c r="I241" s="137"/>
      <c r="J241" s="104"/>
      <c r="K241" s="137"/>
    </row>
    <row r="242" spans="1:11" ht="18.75">
      <c r="A242" s="137"/>
      <c r="B242" s="138"/>
      <c r="C242" s="139"/>
      <c r="D242" s="139"/>
      <c r="E242" s="137"/>
      <c r="F242" s="139"/>
      <c r="G242" s="107"/>
      <c r="H242" s="137"/>
      <c r="I242" s="137"/>
      <c r="J242" s="104"/>
      <c r="K242" s="137"/>
    </row>
    <row r="243" spans="1:11" ht="18.75">
      <c r="A243" s="137"/>
      <c r="B243" s="138"/>
      <c r="C243" s="139"/>
      <c r="D243" s="139"/>
      <c r="E243" s="137"/>
      <c r="F243" s="139"/>
      <c r="G243" s="107"/>
      <c r="H243" s="137"/>
      <c r="I243" s="137"/>
      <c r="J243" s="104"/>
      <c r="K243" s="137"/>
    </row>
    <row r="244" spans="1:11" ht="18.75">
      <c r="A244" s="137"/>
      <c r="B244" s="138"/>
      <c r="C244" s="139"/>
      <c r="D244" s="139"/>
      <c r="E244" s="137"/>
      <c r="F244" s="139"/>
      <c r="G244" s="107"/>
      <c r="H244" s="137"/>
      <c r="I244" s="137"/>
      <c r="J244" s="104"/>
      <c r="K244" s="137"/>
    </row>
    <row r="245" spans="1:11" ht="18.75">
      <c r="A245" s="137"/>
      <c r="B245" s="138"/>
      <c r="C245" s="139"/>
      <c r="D245" s="139"/>
      <c r="E245" s="137"/>
      <c r="F245" s="139"/>
      <c r="G245" s="107"/>
      <c r="H245" s="137"/>
      <c r="I245" s="137"/>
      <c r="J245" s="104"/>
      <c r="K245" s="137"/>
    </row>
    <row r="246" spans="1:11" ht="18.75">
      <c r="A246" s="137"/>
      <c r="B246" s="138"/>
      <c r="C246" s="139"/>
      <c r="D246" s="139"/>
      <c r="E246" s="137"/>
      <c r="F246" s="139"/>
      <c r="G246" s="107"/>
      <c r="H246" s="137"/>
      <c r="I246" s="137"/>
      <c r="J246" s="104"/>
      <c r="K246" s="137"/>
    </row>
    <row r="247" spans="1:11" ht="18.75">
      <c r="A247" s="137"/>
      <c r="B247" s="138"/>
      <c r="C247" s="139"/>
      <c r="D247" s="139"/>
      <c r="E247" s="137"/>
      <c r="F247" s="139"/>
      <c r="G247" s="107"/>
      <c r="H247" s="137"/>
      <c r="I247" s="137"/>
      <c r="J247" s="104"/>
      <c r="K247" s="137"/>
    </row>
    <row r="248" spans="1:11" ht="18.75">
      <c r="A248" s="137"/>
      <c r="B248" s="138"/>
      <c r="C248" s="139"/>
      <c r="D248" s="139"/>
      <c r="E248" s="137"/>
      <c r="F248" s="139"/>
      <c r="G248" s="107"/>
      <c r="H248" s="137"/>
      <c r="I248" s="137"/>
      <c r="J248" s="104"/>
      <c r="K248" s="137"/>
    </row>
    <row r="249" spans="1:11" ht="18.75">
      <c r="A249" s="137"/>
      <c r="B249" s="138"/>
      <c r="C249" s="139"/>
      <c r="D249" s="139"/>
      <c r="E249" s="137"/>
      <c r="F249" s="139"/>
      <c r="G249" s="107"/>
      <c r="H249" s="137"/>
      <c r="I249" s="137"/>
      <c r="J249" s="104"/>
      <c r="K249" s="137"/>
    </row>
    <row r="250" spans="1:11" ht="18.75">
      <c r="A250" s="137"/>
      <c r="B250" s="138"/>
      <c r="C250" s="139"/>
      <c r="D250" s="139"/>
      <c r="E250" s="137"/>
      <c r="F250" s="139"/>
      <c r="G250" s="107"/>
      <c r="H250" s="137"/>
      <c r="I250" s="137"/>
      <c r="J250" s="104"/>
      <c r="K250" s="137"/>
    </row>
    <row r="251" spans="1:11" ht="18.75">
      <c r="A251" s="137"/>
      <c r="B251" s="138"/>
      <c r="C251" s="139"/>
      <c r="D251" s="139"/>
      <c r="E251" s="137"/>
      <c r="F251" s="139"/>
      <c r="G251" s="107"/>
      <c r="H251" s="137"/>
      <c r="I251" s="137"/>
      <c r="J251" s="104"/>
      <c r="K251" s="137"/>
    </row>
    <row r="252" spans="1:11" ht="18.75">
      <c r="A252" s="137"/>
      <c r="B252" s="138"/>
      <c r="C252" s="139"/>
      <c r="D252" s="139"/>
      <c r="E252" s="137"/>
      <c r="F252" s="139"/>
      <c r="G252" s="107"/>
      <c r="H252" s="137"/>
      <c r="I252" s="137"/>
      <c r="J252" s="104"/>
      <c r="K252" s="137"/>
    </row>
    <row r="253" spans="1:11" ht="18.75">
      <c r="A253" s="137"/>
      <c r="B253" s="138"/>
      <c r="C253" s="139"/>
      <c r="D253" s="139"/>
      <c r="E253" s="137"/>
      <c r="F253" s="139"/>
      <c r="G253" s="107"/>
      <c r="H253" s="137"/>
      <c r="I253" s="137"/>
      <c r="J253" s="104"/>
      <c r="K253" s="137"/>
    </row>
    <row r="254" spans="1:11" ht="18.75">
      <c r="A254" s="137"/>
      <c r="B254" s="138"/>
      <c r="C254" s="139"/>
      <c r="D254" s="139"/>
      <c r="E254" s="137"/>
      <c r="F254" s="139"/>
      <c r="G254" s="107"/>
      <c r="H254" s="137"/>
      <c r="I254" s="137"/>
      <c r="J254" s="104"/>
      <c r="K254" s="137"/>
    </row>
    <row r="255" spans="1:11" ht="18.75">
      <c r="A255" s="137"/>
      <c r="B255" s="138"/>
      <c r="C255" s="139"/>
      <c r="D255" s="139"/>
      <c r="E255" s="137"/>
      <c r="F255" s="139"/>
      <c r="G255" s="107"/>
      <c r="H255" s="137"/>
      <c r="I255" s="137"/>
      <c r="J255" s="104"/>
      <c r="K255" s="137"/>
    </row>
    <row r="256" spans="1:11" ht="18.75">
      <c r="A256" s="137"/>
      <c r="B256" s="138"/>
      <c r="C256" s="139"/>
      <c r="D256" s="139"/>
      <c r="E256" s="137"/>
      <c r="F256" s="139"/>
      <c r="G256" s="107"/>
      <c r="H256" s="137"/>
      <c r="I256" s="137"/>
      <c r="J256" s="104"/>
      <c r="K256" s="137"/>
    </row>
    <row r="257" spans="1:11" ht="18.75">
      <c r="A257" s="137"/>
      <c r="B257" s="138"/>
      <c r="C257" s="139"/>
      <c r="D257" s="139"/>
      <c r="E257" s="137"/>
      <c r="F257" s="139"/>
      <c r="G257" s="107"/>
      <c r="H257" s="137"/>
      <c r="I257" s="137"/>
      <c r="J257" s="104"/>
      <c r="K257" s="137"/>
    </row>
  </sheetData>
  <sheetProtection/>
  <mergeCells count="30">
    <mergeCell ref="A1:K1"/>
    <mergeCell ref="A2:K2"/>
    <mergeCell ref="A3:K3"/>
    <mergeCell ref="B4:K4"/>
    <mergeCell ref="A6:A8"/>
    <mergeCell ref="B6:B8"/>
    <mergeCell ref="C6:C8"/>
    <mergeCell ref="D6:D8"/>
    <mergeCell ref="E6:E8"/>
    <mergeCell ref="F6:F8"/>
    <mergeCell ref="G6:H6"/>
    <mergeCell ref="I6:I8"/>
    <mergeCell ref="J6:J8"/>
    <mergeCell ref="K6:K8"/>
    <mergeCell ref="G7:G8"/>
    <mergeCell ref="H7:H8"/>
    <mergeCell ref="A10:E10"/>
    <mergeCell ref="A12:K12"/>
    <mergeCell ref="A13:F13"/>
    <mergeCell ref="J13:K13"/>
    <mergeCell ref="A14:F14"/>
    <mergeCell ref="J14:K14"/>
    <mergeCell ref="A39:F39"/>
    <mergeCell ref="J39:K39"/>
    <mergeCell ref="A20:H20"/>
    <mergeCell ref="J20:K20"/>
    <mergeCell ref="A28:H28"/>
    <mergeCell ref="J28:K28"/>
    <mergeCell ref="A36:F36"/>
    <mergeCell ref="J36:K36"/>
  </mergeCells>
  <printOptions/>
  <pageMargins left="0.31496062992125984" right="0.31496062992125984" top="0.7480314960629921" bottom="0.7480314960629921" header="0.11811023622047245" footer="0.118110236220472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2023-12-12T03:03:37Z</cp:lastPrinted>
  <dcterms:created xsi:type="dcterms:W3CDTF">2014-11-11T04:08:06Z</dcterms:created>
  <dcterms:modified xsi:type="dcterms:W3CDTF">2023-12-12T03:03:41Z</dcterms:modified>
  <cp:category/>
  <cp:version/>
  <cp:contentType/>
  <cp:contentStatus/>
</cp:coreProperties>
</file>